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brossy.DDI\Desktop\"/>
    </mc:Choice>
  </mc:AlternateContent>
  <xr:revisionPtr revIDLastSave="0" documentId="8_{C6C88A77-B441-4B7F-AC1D-F7BA51AFC511}" xr6:coauthVersionLast="41" xr6:coauthVersionMax="41" xr10:uidLastSave="{00000000-0000-0000-0000-000000000000}"/>
  <bookViews>
    <workbookView xWindow="-25800" yWindow="1305" windowWidth="25050" windowHeight="15300" activeTab="1" xr2:uid="{00000000-000D-0000-FFFF-FFFF00000000}"/>
  </bookViews>
  <sheets>
    <sheet name="Statement of Activity" sheetId="1" r:id="rId1"/>
    <sheet name="Comparison of 2019 and 2020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7" i="2" l="1"/>
  <c r="P37" i="2"/>
  <c r="Q20" i="2"/>
  <c r="N97" i="2"/>
  <c r="N37" i="2"/>
  <c r="L97" i="2"/>
  <c r="J97" i="2"/>
  <c r="J99" i="2" s="1"/>
  <c r="I97" i="2"/>
  <c r="H97" i="2"/>
  <c r="D97" i="2"/>
  <c r="D99" i="2" s="1"/>
  <c r="M96" i="2"/>
  <c r="B94" i="2"/>
  <c r="G94" i="2" s="1"/>
  <c r="F94" i="2" s="1"/>
  <c r="B93" i="2"/>
  <c r="G93" i="2" s="1"/>
  <c r="F93" i="2" s="1"/>
  <c r="B92" i="2"/>
  <c r="G92" i="2" s="1"/>
  <c r="F92" i="2" s="1"/>
  <c r="B81" i="2"/>
  <c r="G81" i="2" s="1"/>
  <c r="B79" i="2"/>
  <c r="G79" i="2" s="1"/>
  <c r="F79" i="2" s="1"/>
  <c r="B78" i="2"/>
  <c r="G78" i="2" s="1"/>
  <c r="F78" i="2" s="1"/>
  <c r="B77" i="2"/>
  <c r="G77" i="2" s="1"/>
  <c r="F77" i="2" s="1"/>
  <c r="B75" i="2"/>
  <c r="G75" i="2" s="1"/>
  <c r="F75" i="2" s="1"/>
  <c r="B74" i="2"/>
  <c r="G74" i="2" s="1"/>
  <c r="F74" i="2" s="1"/>
  <c r="B73" i="2"/>
  <c r="G73" i="2" s="1"/>
  <c r="F73" i="2" s="1"/>
  <c r="B72" i="2"/>
  <c r="G72" i="2" s="1"/>
  <c r="F72" i="2" s="1"/>
  <c r="B71" i="2"/>
  <c r="G71" i="2" s="1"/>
  <c r="F71" i="2" s="1"/>
  <c r="B69" i="2"/>
  <c r="G69" i="2" s="1"/>
  <c r="F69" i="2" s="1"/>
  <c r="B67" i="2"/>
  <c r="G67" i="2" s="1"/>
  <c r="F67" i="2" s="1"/>
  <c r="B66" i="2"/>
  <c r="G66" i="2" s="1"/>
  <c r="F66" i="2" s="1"/>
  <c r="B65" i="2"/>
  <c r="G65" i="2" s="1"/>
  <c r="F65" i="2" s="1"/>
  <c r="B64" i="2"/>
  <c r="G64" i="2" s="1"/>
  <c r="F64" i="2" s="1"/>
  <c r="B62" i="2"/>
  <c r="G62" i="2" s="1"/>
  <c r="F62" i="2" s="1"/>
  <c r="B61" i="2"/>
  <c r="G61" i="2" s="1"/>
  <c r="F61" i="2" s="1"/>
  <c r="B58" i="2"/>
  <c r="G58" i="2" s="1"/>
  <c r="F58" i="2" s="1"/>
  <c r="B56" i="2"/>
  <c r="G56" i="2" s="1"/>
  <c r="F56" i="2" s="1"/>
  <c r="B55" i="2"/>
  <c r="G55" i="2" s="1"/>
  <c r="F55" i="2" s="1"/>
  <c r="B54" i="2"/>
  <c r="G54" i="2" s="1"/>
  <c r="F54" i="2" s="1"/>
  <c r="B52" i="2"/>
  <c r="G52" i="2" s="1"/>
  <c r="F52" i="2" s="1"/>
  <c r="B49" i="2"/>
  <c r="G49" i="2" s="1"/>
  <c r="F49" i="2" s="1"/>
  <c r="B48" i="2"/>
  <c r="G48" i="2" s="1"/>
  <c r="F48" i="2" s="1"/>
  <c r="B47" i="2"/>
  <c r="G47" i="2" s="1"/>
  <c r="F47" i="2" s="1"/>
  <c r="B44" i="2"/>
  <c r="G44" i="2" s="1"/>
  <c r="F44" i="2" s="1"/>
  <c r="B43" i="2"/>
  <c r="B42" i="2"/>
  <c r="G42" i="2" s="1"/>
  <c r="F42" i="2" s="1"/>
  <c r="L37" i="2"/>
  <c r="B35" i="2"/>
  <c r="B27" i="2"/>
  <c r="B26" i="2"/>
  <c r="B24" i="2"/>
  <c r="B23" i="2"/>
  <c r="B22" i="2"/>
  <c r="M20" i="2"/>
  <c r="K20" i="2"/>
  <c r="F37" i="2" s="1"/>
  <c r="J20" i="2"/>
  <c r="J37" i="2" s="1"/>
  <c r="I20" i="2"/>
  <c r="H20" i="2"/>
  <c r="G20" i="2"/>
  <c r="D20" i="2"/>
  <c r="D37" i="2" s="1"/>
  <c r="B18" i="2"/>
  <c r="B17" i="2"/>
  <c r="B14" i="2"/>
  <c r="B10" i="2"/>
  <c r="B8" i="2"/>
  <c r="B60" i="1"/>
  <c r="B35" i="1"/>
  <c r="B61" i="1" s="1"/>
  <c r="B18" i="1"/>
  <c r="B24" i="1" s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3" i="1"/>
  <c r="C22" i="1"/>
  <c r="C21" i="1"/>
  <c r="C20" i="1"/>
  <c r="C19" i="1"/>
  <c r="C16" i="1"/>
  <c r="C15" i="1"/>
  <c r="C14" i="1"/>
  <c r="C12" i="1"/>
  <c r="C11" i="1"/>
  <c r="C10" i="1"/>
  <c r="C9" i="1"/>
  <c r="P99" i="2" l="1"/>
  <c r="N99" i="2"/>
  <c r="B20" i="2"/>
  <c r="B37" i="2" s="1"/>
  <c r="L99" i="2"/>
  <c r="B97" i="2"/>
  <c r="B99" i="2" s="1"/>
  <c r="K96" i="2"/>
  <c r="G43" i="2"/>
  <c r="F43" i="2" s="1"/>
  <c r="F97" i="2" s="1"/>
  <c r="F99" i="2" s="1"/>
  <c r="B62" i="1"/>
  <c r="C60" i="1"/>
  <c r="C61" i="1" s="1"/>
  <c r="C18" i="1"/>
  <c r="C24" i="1" s="1"/>
  <c r="C62" i="1" l="1"/>
  <c r="G97" i="2"/>
</calcChain>
</file>

<file path=xl/sharedStrings.xml><?xml version="1.0" encoding="utf-8"?>
<sst xmlns="http://schemas.openxmlformats.org/spreadsheetml/2006/main" count="166" uniqueCount="137">
  <si>
    <t>Revenue</t>
  </si>
  <si>
    <t xml:space="preserve">   507010 Refunds</t>
  </si>
  <si>
    <t xml:space="preserve">   511101 Board Contribution</t>
  </si>
  <si>
    <t xml:space="preserve">   511102 Trustee Gifts</t>
  </si>
  <si>
    <t xml:space="preserve">   511201 Distribution From DMF   .</t>
  </si>
  <si>
    <t xml:space="preserve">   511301 Income on Investments   .</t>
  </si>
  <si>
    <t xml:space="preserve">   522502 Banquet Dinner...........</t>
  </si>
  <si>
    <t xml:space="preserve">   527302 Miscellaneous............</t>
  </si>
  <si>
    <t xml:space="preserve">   540403 BDEF INC</t>
  </si>
  <si>
    <t xml:space="preserve">      540403b BDEF - Investment Income</t>
  </si>
  <si>
    <t xml:space="preserve">   Total 540403 BDEF INC</t>
  </si>
  <si>
    <t xml:space="preserve">   560306 Star Supporter Income....</t>
  </si>
  <si>
    <t xml:space="preserve">   580308 Journey Toward Wholeness book sales</t>
  </si>
  <si>
    <t xml:space="preserve">   590609 Minister' Wives and Husbands F/S Inc.</t>
  </si>
  <si>
    <t xml:space="preserve">   590709 Honorariums</t>
  </si>
  <si>
    <t xml:space="preserve">   590820 Quarterly Distribution for BDEF for Clergy Education</t>
  </si>
  <si>
    <t>Total Revenue</t>
  </si>
  <si>
    <t>Expenditures</t>
  </si>
  <si>
    <t xml:space="preserve">   706010 Merchant Fund Expenses</t>
  </si>
  <si>
    <t xml:space="preserve">   710301 Admin Secretary Trans</t>
  </si>
  <si>
    <t xml:space="preserve">   710302 GA Admin Secretary Meal Expense</t>
  </si>
  <si>
    <t xml:space="preserve">   712001 Board of Trustee Trans</t>
  </si>
  <si>
    <t xml:space="preserve">   713001 Exec Committee Travel</t>
  </si>
  <si>
    <t xml:space="preserve">   713601 Convocation President's Travel</t>
  </si>
  <si>
    <t xml:space="preserve">   713701 Vice President's Travel</t>
  </si>
  <si>
    <t xml:space="preserve">   716201 Treasury Services       .</t>
  </si>
  <si>
    <t xml:space="preserve">   716501 Year Book &amp; Docket      .</t>
  </si>
  <si>
    <t xml:space="preserve">   716701 NCCC Quarterly Accounting Services</t>
  </si>
  <si>
    <t xml:space="preserve">   716801 Legal Fees</t>
  </si>
  <si>
    <t xml:space="preserve">   717401 Nat'l Convocation Phone</t>
  </si>
  <si>
    <t xml:space="preserve">   717501 Nat'l Convocation Postage</t>
  </si>
  <si>
    <t xml:space="preserve">   717601 Nat'l Convo Ofc. Supplies</t>
  </si>
  <si>
    <t xml:space="preserve">   717701 Nat'l Con Subscrip/dues</t>
  </si>
  <si>
    <t xml:space="preserve">   717801 Nat'l Con Computer Supply</t>
  </si>
  <si>
    <t xml:space="preserve">   717901 Media/Marketing &amp; Web Page</t>
  </si>
  <si>
    <t xml:space="preserve">   718001 Nat'l Convo Misc. Expense</t>
  </si>
  <si>
    <t xml:space="preserve">   718201 Advertising/Promotional</t>
  </si>
  <si>
    <t xml:space="preserve">   722602 Registration and Favors</t>
  </si>
  <si>
    <t xml:space="preserve">   722703 Media &amp; Marketing &amp; Web Page</t>
  </si>
  <si>
    <t xml:space="preserve">   723002 Honorariums..............</t>
  </si>
  <si>
    <t xml:space="preserve">   724102 Mobile Phone</t>
  </si>
  <si>
    <t xml:space="preserve">   725902 LAC Operations Expense..</t>
  </si>
  <si>
    <t xml:space="preserve">   731002 Cont. Education for Clery</t>
  </si>
  <si>
    <t xml:space="preserve">   738601 General Assembly Pr</t>
  </si>
  <si>
    <t xml:space="preserve">   738602 General Assembly Booth</t>
  </si>
  <si>
    <t xml:space="preserve">   740500 BDEF - Other</t>
  </si>
  <si>
    <t xml:space="preserve">   740503 BDEF TRAVEL</t>
  </si>
  <si>
    <t xml:space="preserve">   740803 BDEF LODGING &amp; MEALS</t>
  </si>
  <si>
    <t xml:space="preserve">   740903 BDEF GRANT</t>
  </si>
  <si>
    <t xml:space="preserve">   790609 Minister's Wives and Husband's F/S Exp</t>
  </si>
  <si>
    <t xml:space="preserve">   790670 Clergy Women's Fellowship</t>
  </si>
  <si>
    <t xml:space="preserve">      790672 CWF Other Expenses.</t>
  </si>
  <si>
    <t xml:space="preserve">   Total 790670 Clergy Women's Fellowship</t>
  </si>
  <si>
    <t>Total Expenditures</t>
  </si>
  <si>
    <t>Net Revenue</t>
  </si>
  <si>
    <t>NATIONAL CONVOCATION OF THE CHRISTIAN CHURCH</t>
  </si>
  <si>
    <t>Actual Expenses</t>
  </si>
  <si>
    <t>as of November 14, 2019</t>
  </si>
  <si>
    <t>Proposed Administrative Budget</t>
  </si>
  <si>
    <t>Proposed Budget</t>
  </si>
  <si>
    <t>November</t>
  </si>
  <si>
    <t>Modified 4/11/19</t>
  </si>
  <si>
    <t>As of October 2017</t>
  </si>
  <si>
    <t>2017 Approved</t>
  </si>
  <si>
    <t>Total</t>
  </si>
  <si>
    <t>Annual Budget</t>
  </si>
  <si>
    <t>Actual</t>
  </si>
  <si>
    <t xml:space="preserve">   511001 Gifts from Congregations</t>
  </si>
  <si>
    <t xml:space="preserve">   511201 Distribution From DMF </t>
  </si>
  <si>
    <t>590709 Honorariums</t>
  </si>
  <si>
    <t xml:space="preserve">   511301 NCCC Investments Income - Operations</t>
  </si>
  <si>
    <t xml:space="preserve">    511701 Miscellaneous</t>
  </si>
  <si>
    <t xml:space="preserve">   511800 INTEREST FROM CHECKING</t>
  </si>
  <si>
    <t xml:space="preserve">      540403a BDEF - Merchant Fund</t>
  </si>
  <si>
    <t xml:space="preserve">      540403b BDEF -NCMC Investment  Income (Qtrly)</t>
  </si>
  <si>
    <t>Investment Income Broken Down</t>
  </si>
  <si>
    <t xml:space="preserve">   560306 Star Supporter Income</t>
  </si>
  <si>
    <t xml:space="preserve">   590810 Annual Distribution for Star Supporter Income</t>
  </si>
  <si>
    <t>From Faith United Christian Church</t>
  </si>
  <si>
    <t>590409 CWF Income</t>
  </si>
  <si>
    <t xml:space="preserve">   590509 Other Income</t>
  </si>
  <si>
    <t xml:space="preserve">   590609 Minister' Wives and Husbands Fellowship</t>
  </si>
  <si>
    <t xml:space="preserve">   590640 Disciples Women Fellowship - Christian WF</t>
  </si>
  <si>
    <t xml:space="preserve">   590650 Disciples Men's Fellowship</t>
  </si>
  <si>
    <t xml:space="preserve">   590660 Black Ministers Fellowship</t>
  </si>
  <si>
    <t xml:space="preserve">   590670 Clergy Women's Fellowship</t>
  </si>
  <si>
    <t xml:space="preserve">   590680 Young Adult Fellowship</t>
  </si>
  <si>
    <t xml:space="preserve">   590690 Youth Fellowship</t>
  </si>
  <si>
    <t xml:space="preserve">   590810 Annual Distribution for Scholarship Fund</t>
  </si>
  <si>
    <t xml:space="preserve">   590811 Annual Distribution - Undesignated</t>
  </si>
  <si>
    <t xml:space="preserve">   707010 Bank Service Charges</t>
  </si>
  <si>
    <t xml:space="preserve">   710301 Admin Secretary Travel</t>
  </si>
  <si>
    <t xml:space="preserve">   710303 GA Admin Secretary Continuing Education</t>
  </si>
  <si>
    <t>712000 Board of Trustee Meetings</t>
  </si>
  <si>
    <t xml:space="preserve">   712101 Board Lodging (Meetings)</t>
  </si>
  <si>
    <t xml:space="preserve">   712201 Board Meals             </t>
  </si>
  <si>
    <t xml:space="preserve">   712202 Board Training</t>
  </si>
  <si>
    <t>713000 Executive Committee Meeting</t>
  </si>
  <si>
    <t xml:space="preserve">   713601 President's Travel</t>
  </si>
  <si>
    <t xml:space="preserve">   716201 Treasury Services       </t>
  </si>
  <si>
    <t xml:space="preserve">   716501 Year Book &amp; Docket      </t>
  </si>
  <si>
    <t xml:space="preserve">   716701 Quarterly Accounting Services</t>
  </si>
  <si>
    <t xml:space="preserve">   717401 Nat'l Convo Phone</t>
  </si>
  <si>
    <t xml:space="preserve">   7180308 Historical Project</t>
  </si>
  <si>
    <t xml:space="preserve">   722702 Promotional Materials</t>
  </si>
  <si>
    <t xml:space="preserve">   723002 Honorariums</t>
  </si>
  <si>
    <t xml:space="preserve">   724002 Postage</t>
  </si>
  <si>
    <t xml:space="preserve">   724202 Office Supplies</t>
  </si>
  <si>
    <t xml:space="preserve">   728302 Website Management</t>
  </si>
  <si>
    <t xml:space="preserve">   731602 Miscellaneous Expenses</t>
  </si>
  <si>
    <t xml:space="preserve">   790810 Star Supporter Fund Contributions</t>
  </si>
  <si>
    <t xml:space="preserve">   790609 Ministers Wives &amp; Husbands</t>
  </si>
  <si>
    <t xml:space="preserve">   790640 Disciples Women's Fellowship</t>
  </si>
  <si>
    <t xml:space="preserve">   790650 Disciples Men's Fellowship</t>
  </si>
  <si>
    <t xml:space="preserve">   790660 Black Ministers Fellowship</t>
  </si>
  <si>
    <t xml:space="preserve">   790680 Young Adult Fellowship</t>
  </si>
  <si>
    <t xml:space="preserve">   790690 Youth Fellowship</t>
  </si>
  <si>
    <t xml:space="preserve">   740500 BDEF - BOARD MEETINGS AND OTHER EXP</t>
  </si>
  <si>
    <t>740903 BDEF Grants</t>
  </si>
  <si>
    <t>Net Operating Revenue</t>
  </si>
  <si>
    <r>
      <t>TRANSFER FROM DMF PROGRAM RESERVES</t>
    </r>
    <r>
      <rPr>
        <b/>
        <vertAlign val="superscript"/>
        <sz val="8"/>
        <color indexed="8"/>
        <rFont val="Arial"/>
        <family val="2"/>
      </rPr>
      <t>I</t>
    </r>
  </si>
  <si>
    <r>
      <t>I</t>
    </r>
    <r>
      <rPr>
        <sz val="11"/>
        <color indexed="8"/>
        <rFont val="Calibri"/>
        <family val="2"/>
        <scheme val="minor"/>
      </rPr>
      <t>not an expense</t>
    </r>
  </si>
  <si>
    <t>511102 Gifts from Individuals(Trustee Gifts)</t>
  </si>
  <si>
    <t>522502 Banquet Dinner</t>
  </si>
  <si>
    <t>527302 Miscellaneous</t>
  </si>
  <si>
    <t>590820 Quarterly Distribution for BDEF for Clergy</t>
  </si>
  <si>
    <t>717501 National Convo Postage</t>
  </si>
  <si>
    <t>717801 Computer Supply</t>
  </si>
  <si>
    <t>722602 Registration and Favors</t>
  </si>
  <si>
    <t>722703 Media and Marketing Web Page</t>
  </si>
  <si>
    <t>725902 LAC Operations Expense</t>
  </si>
  <si>
    <t xml:space="preserve">        790672 CWF Other Expenses</t>
  </si>
  <si>
    <t xml:space="preserve">2019 Actual </t>
  </si>
  <si>
    <t>Thru 11/14/19</t>
  </si>
  <si>
    <t>507010 Refunds</t>
  </si>
  <si>
    <t>????</t>
  </si>
  <si>
    <r>
      <t xml:space="preserve">731002 Cont. Education for </t>
    </r>
    <r>
      <rPr>
        <b/>
        <u/>
        <sz val="11"/>
        <color rgb="FFFF0000"/>
        <rFont val="Calibri"/>
        <family val="2"/>
        <scheme val="minor"/>
      </rPr>
      <t>Clergy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</si>
</sst>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</numFmts>
  <fonts count="21" x14ac:knownFonts="1"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u val="singleAccounting"/>
      <sz val="11"/>
      <color indexed="8"/>
      <name val="Calibri"/>
      <family val="2"/>
      <scheme val="minor"/>
    </font>
    <font>
      <b/>
      <vertAlign val="superscript"/>
      <sz val="8"/>
      <color indexed="8"/>
      <name val="Arial"/>
      <family val="2"/>
    </font>
    <font>
      <vertAlign val="superscript"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164" fontId="9" fillId="0" borderId="0" xfId="0" applyNumberFormat="1" applyFont="1" applyAlignment="1">
      <alignment horizontal="right" wrapText="1"/>
    </xf>
    <xf numFmtId="165" fontId="8" fillId="0" borderId="2" xfId="0" applyNumberFormat="1" applyFont="1" applyBorder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165" fontId="8" fillId="0" borderId="3" xfId="0" applyNumberFormat="1" applyFont="1" applyBorder="1" applyAlignment="1">
      <alignment horizontal="right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43" fontId="9" fillId="0" borderId="0" xfId="1" applyFont="1" applyAlignment="1">
      <alignment horizontal="left"/>
    </xf>
    <xf numFmtId="43" fontId="9" fillId="0" borderId="0" xfId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/>
    <xf numFmtId="4" fontId="13" fillId="0" borderId="0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43" fontId="14" fillId="0" borderId="0" xfId="0" applyNumberFormat="1" applyFont="1"/>
    <xf numFmtId="4" fontId="15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 wrapText="1"/>
    </xf>
    <xf numFmtId="43" fontId="0" fillId="0" borderId="0" xfId="0" applyNumberFormat="1"/>
    <xf numFmtId="164" fontId="0" fillId="0" borderId="0" xfId="0" applyNumberFormat="1" applyFont="1" applyAlignment="1">
      <alignment wrapText="1"/>
    </xf>
    <xf numFmtId="43" fontId="0" fillId="0" borderId="0" xfId="1" applyFont="1"/>
    <xf numFmtId="164" fontId="0" fillId="0" borderId="0" xfId="0" applyNumberFormat="1" applyFont="1" applyAlignment="1">
      <alignment horizontal="right" wrapText="1"/>
    </xf>
    <xf numFmtId="0" fontId="14" fillId="2" borderId="0" xfId="0" applyFont="1" applyFill="1" applyAlignment="1">
      <alignment horizontal="left" wrapText="1"/>
    </xf>
    <xf numFmtId="164" fontId="0" fillId="2" borderId="0" xfId="0" applyNumberFormat="1" applyFont="1" applyFill="1" applyAlignment="1">
      <alignment horizontal="right" wrapText="1"/>
    </xf>
    <xf numFmtId="0" fontId="0" fillId="2" borderId="0" xfId="0" applyFill="1"/>
    <xf numFmtId="43" fontId="0" fillId="2" borderId="0" xfId="1" applyFont="1" applyFill="1"/>
    <xf numFmtId="43" fontId="0" fillId="2" borderId="0" xfId="0" applyNumberFormat="1" applyFill="1"/>
    <xf numFmtId="0" fontId="14" fillId="2" borderId="0" xfId="0" applyFont="1" applyFill="1" applyAlignment="1">
      <alignment horizontal="left" vertical="top" wrapText="1"/>
    </xf>
    <xf numFmtId="43" fontId="0" fillId="2" borderId="1" xfId="1" applyFont="1" applyFill="1" applyBorder="1"/>
    <xf numFmtId="43" fontId="16" fillId="2" borderId="0" xfId="1" applyFont="1" applyFill="1"/>
    <xf numFmtId="165" fontId="14" fillId="2" borderId="3" xfId="0" applyNumberFormat="1" applyFont="1" applyFill="1" applyBorder="1" applyAlignment="1">
      <alignment horizontal="right" wrapText="1"/>
    </xf>
    <xf numFmtId="43" fontId="14" fillId="2" borderId="0" xfId="1" applyFont="1" applyFill="1"/>
    <xf numFmtId="165" fontId="14" fillId="0" borderId="0" xfId="0" applyNumberFormat="1" applyFont="1" applyBorder="1" applyAlignment="1">
      <alignment horizontal="right" wrapText="1"/>
    </xf>
    <xf numFmtId="0" fontId="14" fillId="3" borderId="0" xfId="0" applyFont="1" applyFill="1" applyAlignment="1">
      <alignment horizontal="left" wrapText="1"/>
    </xf>
    <xf numFmtId="164" fontId="0" fillId="3" borderId="0" xfId="0" applyNumberFormat="1" applyFont="1" applyFill="1" applyAlignment="1">
      <alignment horizontal="right" wrapText="1"/>
    </xf>
    <xf numFmtId="0" fontId="0" fillId="3" borderId="0" xfId="0" applyFill="1"/>
    <xf numFmtId="43" fontId="0" fillId="3" borderId="0" xfId="1" applyFont="1" applyFill="1"/>
    <xf numFmtId="43" fontId="0" fillId="3" borderId="0" xfId="0" applyNumberFormat="1" applyFill="1"/>
    <xf numFmtId="43" fontId="0" fillId="0" borderId="0" xfId="1" applyFont="1" applyAlignment="1">
      <alignment horizontal="right" wrapText="1"/>
    </xf>
    <xf numFmtId="43" fontId="0" fillId="3" borderId="0" xfId="1" applyFont="1" applyFill="1" applyAlignment="1">
      <alignment horizontal="right" wrapText="1"/>
    </xf>
    <xf numFmtId="165" fontId="14" fillId="0" borderId="3" xfId="0" applyNumberFormat="1" applyFont="1" applyBorder="1" applyAlignment="1">
      <alignment horizontal="right" wrapText="1"/>
    </xf>
    <xf numFmtId="165" fontId="14" fillId="0" borderId="4" xfId="0" applyNumberFormat="1" applyFont="1" applyBorder="1" applyAlignment="1">
      <alignment horizontal="right" wrapText="1"/>
    </xf>
    <xf numFmtId="43" fontId="14" fillId="2" borderId="0" xfId="0" applyNumberFormat="1" applyFont="1" applyFill="1"/>
    <xf numFmtId="43" fontId="14" fillId="0" borderId="4" xfId="1" applyFont="1" applyBorder="1"/>
    <xf numFmtId="0" fontId="1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0" fontId="18" fillId="0" borderId="0" xfId="0" applyFont="1"/>
    <xf numFmtId="44" fontId="0" fillId="0" borderId="0" xfId="0" applyNumberFormat="1"/>
    <xf numFmtId="49" fontId="14" fillId="0" borderId="0" xfId="0" applyNumberFormat="1" applyFont="1" applyAlignment="1">
      <alignment horizontal="center"/>
    </xf>
    <xf numFmtId="44" fontId="14" fillId="0" borderId="0" xfId="0" applyNumberFormat="1" applyFont="1"/>
    <xf numFmtId="44" fontId="0" fillId="4" borderId="0" xfId="0" applyNumberFormat="1" applyFill="1"/>
    <xf numFmtId="0" fontId="14" fillId="0" borderId="0" xfId="0" applyFont="1"/>
    <xf numFmtId="44" fontId="11" fillId="0" borderId="0" xfId="0" applyNumberFormat="1" applyFont="1"/>
    <xf numFmtId="44" fontId="11" fillId="4" borderId="0" xfId="0" applyNumberFormat="1" applyFont="1" applyFill="1"/>
    <xf numFmtId="0" fontId="19" fillId="0" borderId="0" xfId="0" applyFont="1" applyAlignment="1">
      <alignment horizontal="left" wrapText="1"/>
    </xf>
    <xf numFmtId="44" fontId="0" fillId="5" borderId="0" xfId="0" applyNumberFormat="1" applyFill="1"/>
    <xf numFmtId="0" fontId="3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</xdr:colOff>
      <xdr:row>0</xdr:row>
      <xdr:rowOff>17145</xdr:rowOff>
    </xdr:from>
    <xdr:to>
      <xdr:col>0</xdr:col>
      <xdr:colOff>1181100</xdr:colOff>
      <xdr:row>3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" y="17145"/>
          <a:ext cx="1122045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"/>
  <sheetViews>
    <sheetView zoomScaleNormal="100" workbookViewId="0">
      <selection activeCell="G16" sqref="G16"/>
    </sheetView>
  </sheetViews>
  <sheetFormatPr defaultRowHeight="14.4" x14ac:dyDescent="0.3"/>
  <cols>
    <col min="1" max="1" width="56.44140625" customWidth="1"/>
    <col min="2" max="2" width="28.33203125" customWidth="1"/>
    <col min="3" max="3" width="28.5546875" customWidth="1"/>
  </cols>
  <sheetData>
    <row r="1" spans="1:3" ht="40.799999999999997" customHeight="1" x14ac:dyDescent="0.3">
      <c r="A1" s="66" t="s">
        <v>55</v>
      </c>
      <c r="B1" s="66"/>
      <c r="C1" s="67"/>
    </row>
    <row r="2" spans="1:3" ht="17.399999999999999" x14ac:dyDescent="0.3">
      <c r="A2" s="68" t="s">
        <v>58</v>
      </c>
      <c r="B2" s="66"/>
      <c r="C2" s="67"/>
    </row>
    <row r="3" spans="1:3" ht="18" x14ac:dyDescent="0.35">
      <c r="A3" s="68">
        <v>2020</v>
      </c>
      <c r="B3" s="68"/>
      <c r="C3" s="69"/>
    </row>
    <row r="4" spans="1:3" x14ac:dyDescent="0.3">
      <c r="A4" s="4"/>
      <c r="B4" s="4"/>
    </row>
    <row r="5" spans="1:3" x14ac:dyDescent="0.3">
      <c r="A5" s="4"/>
      <c r="B5" s="4"/>
    </row>
    <row r="6" spans="1:3" ht="15.6" x14ac:dyDescent="0.3">
      <c r="B6" s="11">
        <v>2020</v>
      </c>
      <c r="C6" s="11" t="s">
        <v>56</v>
      </c>
    </row>
    <row r="7" spans="1:3" ht="15.6" x14ac:dyDescent="0.3">
      <c r="A7" s="1"/>
      <c r="B7" s="12" t="s">
        <v>59</v>
      </c>
      <c r="C7" s="12" t="s">
        <v>57</v>
      </c>
    </row>
    <row r="8" spans="1:3" ht="15.6" x14ac:dyDescent="0.3">
      <c r="A8" s="8" t="s">
        <v>0</v>
      </c>
      <c r="B8" s="2"/>
      <c r="C8" s="3"/>
    </row>
    <row r="9" spans="1:3" ht="15.6" x14ac:dyDescent="0.3">
      <c r="A9" s="8" t="s">
        <v>1</v>
      </c>
      <c r="B9" s="13">
        <v>0</v>
      </c>
      <c r="C9" s="5">
        <f>146.25</f>
        <v>146.25</v>
      </c>
    </row>
    <row r="10" spans="1:3" ht="15.6" x14ac:dyDescent="0.3">
      <c r="A10" s="8" t="s">
        <v>2</v>
      </c>
      <c r="B10" s="13">
        <v>900</v>
      </c>
      <c r="C10" s="5">
        <f>851.98</f>
        <v>851.98</v>
      </c>
    </row>
    <row r="11" spans="1:3" ht="15.6" x14ac:dyDescent="0.3">
      <c r="A11" s="8" t="s">
        <v>3</v>
      </c>
      <c r="B11" s="14">
        <v>500</v>
      </c>
      <c r="C11" s="5">
        <f>500</f>
        <v>500</v>
      </c>
    </row>
    <row r="12" spans="1:3" ht="15.6" x14ac:dyDescent="0.3">
      <c r="A12" s="8" t="s">
        <v>4</v>
      </c>
      <c r="B12" s="14">
        <v>32000</v>
      </c>
      <c r="C12" s="5">
        <f>31406.28</f>
        <v>31406.28</v>
      </c>
    </row>
    <row r="13" spans="1:3" ht="15.6" x14ac:dyDescent="0.3">
      <c r="A13" s="8" t="s">
        <v>5</v>
      </c>
      <c r="B13" s="14">
        <v>45000</v>
      </c>
      <c r="C13" s="5">
        <v>39698.93</v>
      </c>
    </row>
    <row r="14" spans="1:3" ht="15.6" x14ac:dyDescent="0.3">
      <c r="A14" s="8" t="s">
        <v>6</v>
      </c>
      <c r="B14" s="14">
        <v>0</v>
      </c>
      <c r="C14" s="5">
        <f>25</f>
        <v>25</v>
      </c>
    </row>
    <row r="15" spans="1:3" ht="15.6" x14ac:dyDescent="0.3">
      <c r="A15" s="8" t="s">
        <v>7</v>
      </c>
      <c r="B15" s="14">
        <v>200</v>
      </c>
      <c r="C15" s="5">
        <f>203.94</f>
        <v>203.94</v>
      </c>
    </row>
    <row r="16" spans="1:3" ht="15.6" x14ac:dyDescent="0.3">
      <c r="A16" s="8" t="s">
        <v>8</v>
      </c>
      <c r="B16" s="14">
        <v>1100</v>
      </c>
      <c r="C16" s="5">
        <f>1140.69</f>
        <v>1140.69</v>
      </c>
    </row>
    <row r="17" spans="1:3" ht="15.6" x14ac:dyDescent="0.3">
      <c r="A17" s="8" t="s">
        <v>9</v>
      </c>
      <c r="B17" s="14">
        <v>25000</v>
      </c>
      <c r="C17" s="5">
        <v>17022</v>
      </c>
    </row>
    <row r="18" spans="1:3" ht="15.6" x14ac:dyDescent="0.3">
      <c r="A18" s="8" t="s">
        <v>10</v>
      </c>
      <c r="B18" s="6">
        <f>(B16)+(B17)</f>
        <v>26100</v>
      </c>
      <c r="C18" s="6">
        <f>(C16)+(C17)</f>
        <v>18162.689999999999</v>
      </c>
    </row>
    <row r="19" spans="1:3" ht="15.6" x14ac:dyDescent="0.3">
      <c r="A19" s="8" t="s">
        <v>11</v>
      </c>
      <c r="B19" s="14">
        <v>2750</v>
      </c>
      <c r="C19" s="5">
        <f>2750.04</f>
        <v>2750.04</v>
      </c>
    </row>
    <row r="20" spans="1:3" ht="15.6" x14ac:dyDescent="0.3">
      <c r="A20" s="8" t="s">
        <v>12</v>
      </c>
      <c r="B20" s="14">
        <v>160</v>
      </c>
      <c r="C20" s="5">
        <f>158.7</f>
        <v>158.69999999999999</v>
      </c>
    </row>
    <row r="21" spans="1:3" ht="15.6" x14ac:dyDescent="0.3">
      <c r="A21" s="8" t="s">
        <v>13</v>
      </c>
      <c r="B21" s="14">
        <v>60</v>
      </c>
      <c r="C21" s="5">
        <f>28.47</f>
        <v>28.47</v>
      </c>
    </row>
    <row r="22" spans="1:3" ht="15.6" x14ac:dyDescent="0.3">
      <c r="A22" s="8" t="s">
        <v>14</v>
      </c>
      <c r="B22" s="14">
        <v>800</v>
      </c>
      <c r="C22" s="5">
        <f>789.75</f>
        <v>789.75</v>
      </c>
    </row>
    <row r="23" spans="1:3" ht="31.2" x14ac:dyDescent="0.3">
      <c r="A23" s="8" t="s">
        <v>15</v>
      </c>
      <c r="B23" s="14">
        <v>3000</v>
      </c>
      <c r="C23" s="5">
        <f>2776.11</f>
        <v>2776.11</v>
      </c>
    </row>
    <row r="24" spans="1:3" ht="15.6" x14ac:dyDescent="0.3">
      <c r="A24" s="8" t="s">
        <v>16</v>
      </c>
      <c r="B24" s="6">
        <f>((((((((((((B9)+(B10))+(B11))+(B12))+(B13))+(B14))+(B15))+(B18))+(B19))+(B20))+(B21))+(B22))+(B23)</f>
        <v>111470</v>
      </c>
      <c r="C24" s="6">
        <f>((((((((((((C9)+(C10))+(C11))+(C12))+(C13))+(C14))+(C15))+(C18))+(C19))+(C20))+(C21))+(C22))+(C23)</f>
        <v>97498.14</v>
      </c>
    </row>
    <row r="25" spans="1:3" ht="15.6" x14ac:dyDescent="0.3">
      <c r="A25" s="8" t="s">
        <v>17</v>
      </c>
      <c r="B25" s="14"/>
      <c r="C25" s="7"/>
    </row>
    <row r="26" spans="1:3" ht="15.6" x14ac:dyDescent="0.3">
      <c r="A26" s="8" t="s">
        <v>18</v>
      </c>
      <c r="B26" s="14">
        <v>12000</v>
      </c>
      <c r="C26" s="5">
        <f>11442.55</f>
        <v>11442.55</v>
      </c>
    </row>
    <row r="27" spans="1:3" ht="15.6" x14ac:dyDescent="0.3">
      <c r="A27" s="8" t="s">
        <v>19</v>
      </c>
      <c r="B27" s="14">
        <v>8400</v>
      </c>
      <c r="C27" s="5">
        <f>8384.97</f>
        <v>8384.9699999999993</v>
      </c>
    </row>
    <row r="28" spans="1:3" ht="15.6" x14ac:dyDescent="0.3">
      <c r="A28" s="8" t="s">
        <v>20</v>
      </c>
      <c r="B28" s="14">
        <v>1800</v>
      </c>
      <c r="C28" s="5">
        <f>1770</f>
        <v>1770</v>
      </c>
    </row>
    <row r="29" spans="1:3" ht="15.6" x14ac:dyDescent="0.3">
      <c r="A29" s="8" t="s">
        <v>21</v>
      </c>
      <c r="B29" s="14">
        <v>2500</v>
      </c>
      <c r="C29" s="5">
        <f>2426.43</f>
        <v>2426.4299999999998</v>
      </c>
    </row>
    <row r="30" spans="1:3" ht="15.6" x14ac:dyDescent="0.3">
      <c r="A30" s="8" t="s">
        <v>22</v>
      </c>
      <c r="B30" s="14">
        <v>450</v>
      </c>
      <c r="C30" s="5">
        <f>439.96</f>
        <v>439.96</v>
      </c>
    </row>
    <row r="31" spans="1:3" ht="15.6" x14ac:dyDescent="0.3">
      <c r="A31" s="8" t="s">
        <v>23</v>
      </c>
      <c r="B31" s="14">
        <v>700</v>
      </c>
      <c r="C31" s="5">
        <f>679.6</f>
        <v>679.6</v>
      </c>
    </row>
    <row r="32" spans="1:3" ht="15.6" x14ac:dyDescent="0.3">
      <c r="A32" s="8" t="s">
        <v>24</v>
      </c>
      <c r="B32" s="14">
        <v>1100</v>
      </c>
      <c r="C32" s="5">
        <f>1006.77</f>
        <v>1006.77</v>
      </c>
    </row>
    <row r="33" spans="1:3" ht="15.6" x14ac:dyDescent="0.3">
      <c r="A33" s="8" t="s">
        <v>25</v>
      </c>
      <c r="B33" s="14">
        <v>6200</v>
      </c>
      <c r="C33" s="5">
        <f>6141.72</f>
        <v>6141.72</v>
      </c>
    </row>
    <row r="34" spans="1:3" ht="15.6" x14ac:dyDescent="0.3">
      <c r="A34" s="8" t="s">
        <v>26</v>
      </c>
      <c r="B34" s="14">
        <v>200</v>
      </c>
      <c r="C34" s="5">
        <f>205.93</f>
        <v>205.93</v>
      </c>
    </row>
    <row r="35" spans="1:3" ht="15.6" x14ac:dyDescent="0.3">
      <c r="A35" s="8" t="s">
        <v>27</v>
      </c>
      <c r="B35" s="14">
        <f>250*4</f>
        <v>1000</v>
      </c>
      <c r="C35" s="5">
        <f>960</f>
        <v>960</v>
      </c>
    </row>
    <row r="36" spans="1:3" ht="15.6" x14ac:dyDescent="0.3">
      <c r="A36" s="8" t="s">
        <v>28</v>
      </c>
      <c r="B36" s="14">
        <v>50</v>
      </c>
      <c r="C36" s="5">
        <f>40.94</f>
        <v>40.94</v>
      </c>
    </row>
    <row r="37" spans="1:3" ht="15.6" x14ac:dyDescent="0.3">
      <c r="A37" s="8" t="s">
        <v>29</v>
      </c>
      <c r="B37" s="14">
        <v>150</v>
      </c>
      <c r="C37" s="5">
        <f>144.94</f>
        <v>144.94</v>
      </c>
    </row>
    <row r="38" spans="1:3" ht="15.6" x14ac:dyDescent="0.3">
      <c r="A38" s="8" t="s">
        <v>30</v>
      </c>
      <c r="B38" s="14">
        <v>200</v>
      </c>
      <c r="C38" s="5">
        <f>151.01</f>
        <v>151.01</v>
      </c>
    </row>
    <row r="39" spans="1:3" ht="15.6" x14ac:dyDescent="0.3">
      <c r="A39" s="8" t="s">
        <v>31</v>
      </c>
      <c r="B39" s="14">
        <v>60</v>
      </c>
      <c r="C39" s="5">
        <f>57.62</f>
        <v>57.62</v>
      </c>
    </row>
    <row r="40" spans="1:3" ht="15.6" x14ac:dyDescent="0.3">
      <c r="A40" s="8" t="s">
        <v>32</v>
      </c>
      <c r="B40" s="14">
        <v>300</v>
      </c>
      <c r="C40" s="5">
        <f>290</f>
        <v>290</v>
      </c>
    </row>
    <row r="41" spans="1:3" ht="15.6" x14ac:dyDescent="0.3">
      <c r="A41" s="8" t="s">
        <v>33</v>
      </c>
      <c r="B41" s="14">
        <v>200</v>
      </c>
      <c r="C41" s="5">
        <f>160.39</f>
        <v>160.38999999999999</v>
      </c>
    </row>
    <row r="42" spans="1:3" ht="15.6" x14ac:dyDescent="0.3">
      <c r="A42" s="8" t="s">
        <v>34</v>
      </c>
      <c r="B42" s="14">
        <v>200</v>
      </c>
      <c r="C42" s="5">
        <f>180</f>
        <v>180</v>
      </c>
    </row>
    <row r="43" spans="1:3" ht="15.6" x14ac:dyDescent="0.3">
      <c r="A43" s="8" t="s">
        <v>35</v>
      </c>
      <c r="B43" s="14">
        <v>2600</v>
      </c>
      <c r="C43" s="5">
        <f>2519.03</f>
        <v>2519.0300000000002</v>
      </c>
    </row>
    <row r="44" spans="1:3" ht="15.6" x14ac:dyDescent="0.3">
      <c r="A44" s="8" t="s">
        <v>36</v>
      </c>
      <c r="B44" s="14">
        <v>800</v>
      </c>
      <c r="C44" s="5">
        <f>775</f>
        <v>775</v>
      </c>
    </row>
    <row r="45" spans="1:3" ht="15.6" x14ac:dyDescent="0.3">
      <c r="A45" s="8" t="s">
        <v>37</v>
      </c>
      <c r="B45" s="14">
        <v>0</v>
      </c>
      <c r="C45" s="5">
        <f>576.5</f>
        <v>576.5</v>
      </c>
    </row>
    <row r="46" spans="1:3" ht="15.6" x14ac:dyDescent="0.3">
      <c r="A46" s="8" t="s">
        <v>38</v>
      </c>
      <c r="B46" s="14">
        <v>100</v>
      </c>
      <c r="C46" s="5">
        <f>90</f>
        <v>90</v>
      </c>
    </row>
    <row r="47" spans="1:3" ht="15.6" x14ac:dyDescent="0.3">
      <c r="A47" s="8" t="s">
        <v>39</v>
      </c>
      <c r="B47" s="14">
        <v>300</v>
      </c>
      <c r="C47" s="5">
        <f>300</f>
        <v>300</v>
      </c>
    </row>
    <row r="48" spans="1:3" ht="15.6" x14ac:dyDescent="0.3">
      <c r="A48" s="8" t="s">
        <v>40</v>
      </c>
      <c r="B48" s="14">
        <v>200</v>
      </c>
      <c r="C48" s="5">
        <f>152.12</f>
        <v>152.12</v>
      </c>
    </row>
    <row r="49" spans="1:3" ht="15.6" x14ac:dyDescent="0.3">
      <c r="A49" s="8" t="s">
        <v>41</v>
      </c>
      <c r="B49" s="14">
        <v>15000</v>
      </c>
      <c r="C49" s="5">
        <f>12885.42</f>
        <v>12885.42</v>
      </c>
    </row>
    <row r="50" spans="1:3" ht="15.6" x14ac:dyDescent="0.3">
      <c r="A50" s="8" t="s">
        <v>42</v>
      </c>
      <c r="B50" s="14">
        <v>500</v>
      </c>
      <c r="C50" s="5">
        <f>492.42</f>
        <v>492.42</v>
      </c>
    </row>
    <row r="51" spans="1:3" ht="15.6" x14ac:dyDescent="0.3">
      <c r="A51" s="8" t="s">
        <v>43</v>
      </c>
      <c r="B51" s="14">
        <v>1700</v>
      </c>
      <c r="C51" s="5">
        <f>1679.34</f>
        <v>1679.34</v>
      </c>
    </row>
    <row r="52" spans="1:3" ht="15.6" x14ac:dyDescent="0.3">
      <c r="A52" s="8" t="s">
        <v>44</v>
      </c>
      <c r="B52" s="14">
        <v>1400</v>
      </c>
      <c r="C52" s="5">
        <f>1317.77</f>
        <v>1317.77</v>
      </c>
    </row>
    <row r="53" spans="1:3" ht="15.6" x14ac:dyDescent="0.3">
      <c r="A53" s="8" t="s">
        <v>45</v>
      </c>
      <c r="B53" s="14">
        <v>100</v>
      </c>
      <c r="C53" s="5">
        <f>86.21</f>
        <v>86.21</v>
      </c>
    </row>
    <row r="54" spans="1:3" ht="15.6" x14ac:dyDescent="0.3">
      <c r="A54" s="8" t="s">
        <v>46</v>
      </c>
      <c r="B54" s="14">
        <v>2400</v>
      </c>
      <c r="C54" s="5">
        <f>2381.37</f>
        <v>2381.37</v>
      </c>
    </row>
    <row r="55" spans="1:3" ht="15.6" x14ac:dyDescent="0.3">
      <c r="A55" s="8" t="s">
        <v>47</v>
      </c>
      <c r="B55" s="14">
        <v>500</v>
      </c>
      <c r="C55" s="5">
        <f>485.94</f>
        <v>485.94</v>
      </c>
    </row>
    <row r="56" spans="1:3" ht="15.6" x14ac:dyDescent="0.3">
      <c r="A56" s="8" t="s">
        <v>48</v>
      </c>
      <c r="B56" s="14">
        <v>1600</v>
      </c>
      <c r="C56" s="5">
        <f>1540</f>
        <v>1540</v>
      </c>
    </row>
    <row r="57" spans="1:3" ht="15.6" x14ac:dyDescent="0.3">
      <c r="A57" s="8" t="s">
        <v>49</v>
      </c>
      <c r="B57" s="14">
        <v>1000</v>
      </c>
      <c r="C57" s="5">
        <f>1000</f>
        <v>1000</v>
      </c>
    </row>
    <row r="58" spans="1:3" ht="15.6" x14ac:dyDescent="0.3">
      <c r="A58" s="8" t="s">
        <v>50</v>
      </c>
      <c r="B58" s="14">
        <v>1000</v>
      </c>
      <c r="C58" s="5">
        <f>464.9</f>
        <v>464.9</v>
      </c>
    </row>
    <row r="59" spans="1:3" ht="15.6" x14ac:dyDescent="0.3">
      <c r="A59" s="8" t="s">
        <v>51</v>
      </c>
      <c r="B59" s="14">
        <v>0</v>
      </c>
      <c r="C59" s="5">
        <f>770</f>
        <v>770</v>
      </c>
    </row>
    <row r="60" spans="1:3" ht="15.6" x14ac:dyDescent="0.3">
      <c r="A60" s="8" t="s">
        <v>52</v>
      </c>
      <c r="B60" s="6">
        <f>(B58)+(B59)</f>
        <v>1000</v>
      </c>
      <c r="C60" s="6">
        <f>(C58)+(C59)</f>
        <v>1234.9000000000001</v>
      </c>
    </row>
    <row r="61" spans="1:3" ht="15.6" x14ac:dyDescent="0.3">
      <c r="A61" s="8" t="s">
        <v>53</v>
      </c>
      <c r="B61" s="6">
        <f>((((((((((((((((((((((((((((((((B26)+(B27))+(B28))+(B29))+(B30))+(B31))+(B32))+(B33))+(B34))+(B35))+(B36))+(B37))+(B38))+(B39))+(B40))+(B41))+(B42))+(B43))+(B44))+(B45))+(B46))+(B47))+(B48))+(B49))+(B50))+(B51))+(B52))+(B53))+(B54))+(B55))+(B56))+(B57))+(B60)</f>
        <v>64710</v>
      </c>
      <c r="C61" s="6">
        <f>((((((((((((((((((((((((((((((((C26)+(C27))+(C28))+(C29))+(C30))+(C31))+(C32))+(C33))+(C34))+(C35))+(C36))+(C37))+(C38))+(C39))+(C40))+(C41))+(C42))+(C43))+(C44))+(C45))+(C46))+(C47))+(C48))+(C49))+(C50))+(C51))+(C52))+(C53))+(C54))+(C55))+(C56))+(C57))+(C60)</f>
        <v>61998.85</v>
      </c>
    </row>
    <row r="62" spans="1:3" ht="15.6" x14ac:dyDescent="0.3">
      <c r="A62" s="8" t="s">
        <v>54</v>
      </c>
      <c r="B62" s="9">
        <f>+B24-B61</f>
        <v>46760</v>
      </c>
      <c r="C62" s="9">
        <f>+C24-C61</f>
        <v>35499.29</v>
      </c>
    </row>
    <row r="63" spans="1:3" ht="15.6" x14ac:dyDescent="0.3">
      <c r="A63" s="8"/>
      <c r="B63" s="15"/>
      <c r="C63" s="7"/>
    </row>
    <row r="64" spans="1:3" ht="15.6" x14ac:dyDescent="0.3">
      <c r="B64" s="10"/>
      <c r="C64" s="10"/>
    </row>
    <row r="65" spans="2:3" ht="15.6" x14ac:dyDescent="0.3">
      <c r="B65" s="10"/>
      <c r="C65" s="10"/>
    </row>
    <row r="66" spans="2:3" ht="15.6" x14ac:dyDescent="0.3">
      <c r="B66" s="10"/>
      <c r="C66" s="10"/>
    </row>
    <row r="67" spans="2:3" ht="15.6" x14ac:dyDescent="0.3">
      <c r="B67" s="10"/>
      <c r="C67" s="10"/>
    </row>
  </sheetData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6"/>
  <sheetViews>
    <sheetView tabSelected="1" workbookViewId="0">
      <selection activeCell="V13" sqref="V13"/>
    </sheetView>
  </sheetViews>
  <sheetFormatPr defaultRowHeight="14.4" x14ac:dyDescent="0.3"/>
  <cols>
    <col min="1" max="1" width="29.6640625" customWidth="1"/>
    <col min="2" max="5" width="0" hidden="1" customWidth="1"/>
    <col min="6" max="6" width="13.5546875" bestFit="1" customWidth="1"/>
    <col min="7" max="7" width="0" hidden="1" customWidth="1"/>
    <col min="9" max="11" width="0" hidden="1" customWidth="1"/>
    <col min="12" max="12" width="17.44140625" bestFit="1" customWidth="1"/>
    <col min="13" max="13" width="10.44140625" bestFit="1" customWidth="1"/>
    <col min="14" max="14" width="16.88671875" style="57" bestFit="1" customWidth="1"/>
    <col min="15" max="15" width="11.44140625" style="57" bestFit="1" customWidth="1"/>
    <col min="16" max="16" width="12.77734375" style="57" bestFit="1" customWidth="1"/>
    <col min="17" max="17" width="11.44140625" style="57" bestFit="1" customWidth="1"/>
  </cols>
  <sheetData>
    <row r="2" spans="1:17" ht="18" x14ac:dyDescent="0.3">
      <c r="A2" s="17"/>
      <c r="B2" s="17"/>
      <c r="C2" s="17"/>
      <c r="D2" s="17"/>
      <c r="E2" s="17"/>
      <c r="F2" s="17"/>
      <c r="G2" s="17"/>
      <c r="H2" s="17"/>
      <c r="I2" s="17"/>
      <c r="J2" s="18" t="s">
        <v>60</v>
      </c>
      <c r="K2" s="16"/>
      <c r="L2" s="19" t="s">
        <v>61</v>
      </c>
      <c r="M2" s="16"/>
    </row>
    <row r="3" spans="1:17" x14ac:dyDescent="0.3">
      <c r="A3" s="16"/>
      <c r="B3" s="20" t="s">
        <v>62</v>
      </c>
      <c r="C3" s="16"/>
      <c r="D3" s="18" t="s">
        <v>63</v>
      </c>
      <c r="E3" s="16"/>
      <c r="F3" s="21">
        <v>2019</v>
      </c>
      <c r="G3" s="16"/>
      <c r="H3" s="16"/>
      <c r="I3" s="16"/>
      <c r="J3" s="18">
        <v>2018</v>
      </c>
      <c r="K3" s="16"/>
      <c r="L3" s="22">
        <v>2019</v>
      </c>
      <c r="M3" s="16"/>
      <c r="N3" s="58">
        <v>2020</v>
      </c>
      <c r="P3" s="59" t="s">
        <v>132</v>
      </c>
    </row>
    <row r="4" spans="1:17" x14ac:dyDescent="0.3">
      <c r="A4" s="1"/>
      <c r="B4" s="23" t="s">
        <v>64</v>
      </c>
      <c r="C4" s="16"/>
      <c r="D4" s="24" t="s">
        <v>65</v>
      </c>
      <c r="E4" s="16"/>
      <c r="F4" s="25" t="s">
        <v>65</v>
      </c>
      <c r="G4" s="16"/>
      <c r="H4" s="16"/>
      <c r="I4" s="16"/>
      <c r="J4" s="24" t="s">
        <v>66</v>
      </c>
      <c r="K4" s="16"/>
      <c r="L4" s="26" t="s">
        <v>65</v>
      </c>
      <c r="M4" s="16"/>
      <c r="N4" s="59" t="s">
        <v>59</v>
      </c>
      <c r="P4" s="59" t="s">
        <v>133</v>
      </c>
    </row>
    <row r="5" spans="1:17" x14ac:dyDescent="0.3">
      <c r="A5" s="27" t="s">
        <v>0</v>
      </c>
      <c r="B5" s="3"/>
      <c r="C5" s="16"/>
      <c r="D5" s="16"/>
      <c r="E5" s="16"/>
      <c r="F5" s="16"/>
      <c r="G5" s="16"/>
      <c r="H5" s="16"/>
      <c r="I5" s="16"/>
      <c r="J5" s="16"/>
      <c r="K5" s="16"/>
      <c r="L5" s="28"/>
      <c r="M5" s="16"/>
    </row>
    <row r="6" spans="1:17" s="16" customFormat="1" x14ac:dyDescent="0.3">
      <c r="A6" s="27" t="s">
        <v>134</v>
      </c>
      <c r="B6" s="3"/>
      <c r="L6" s="28"/>
      <c r="N6" s="57"/>
      <c r="O6" s="57"/>
      <c r="P6" s="57">
        <v>146.25</v>
      </c>
      <c r="Q6" s="57"/>
    </row>
    <row r="7" spans="1:17" ht="14.4" customHeight="1" x14ac:dyDescent="0.3">
      <c r="A7" s="27" t="s">
        <v>67</v>
      </c>
      <c r="B7" s="29">
        <v>0</v>
      </c>
      <c r="C7" s="16"/>
      <c r="D7" s="30">
        <v>1000</v>
      </c>
      <c r="E7" s="16"/>
      <c r="F7" s="30">
        <v>300</v>
      </c>
      <c r="G7" s="16"/>
      <c r="H7" s="16"/>
      <c r="I7" s="16"/>
      <c r="J7" s="30">
        <v>100</v>
      </c>
      <c r="K7" s="16"/>
      <c r="L7" s="28">
        <v>300</v>
      </c>
      <c r="M7" s="16"/>
      <c r="N7" s="57">
        <v>0</v>
      </c>
    </row>
    <row r="8" spans="1:17" x14ac:dyDescent="0.3">
      <c r="A8" s="27" t="s">
        <v>2</v>
      </c>
      <c r="B8" s="31">
        <f>250</f>
        <v>250</v>
      </c>
      <c r="C8" s="16"/>
      <c r="D8" s="30">
        <v>3000</v>
      </c>
      <c r="E8" s="16"/>
      <c r="F8" s="30">
        <v>500</v>
      </c>
      <c r="G8" s="16"/>
      <c r="H8" s="16"/>
      <c r="I8" s="16"/>
      <c r="J8" s="30">
        <v>700</v>
      </c>
      <c r="K8" s="16"/>
      <c r="L8" s="28">
        <v>1500</v>
      </c>
      <c r="M8" s="16"/>
      <c r="N8" s="57">
        <v>900</v>
      </c>
      <c r="P8" s="57">
        <v>851.98</v>
      </c>
    </row>
    <row r="9" spans="1:17" ht="33" customHeight="1" x14ac:dyDescent="0.3">
      <c r="A9" s="27" t="s">
        <v>122</v>
      </c>
      <c r="B9" s="31"/>
      <c r="C9" s="16"/>
      <c r="D9" s="30"/>
      <c r="E9" s="16"/>
      <c r="F9" s="30"/>
      <c r="G9" s="16"/>
      <c r="H9" s="16"/>
      <c r="I9" s="16"/>
      <c r="J9" s="30"/>
      <c r="K9" s="16"/>
      <c r="L9" s="28">
        <v>50</v>
      </c>
      <c r="M9" s="16"/>
      <c r="N9" s="57">
        <v>500</v>
      </c>
      <c r="P9" s="57">
        <v>500</v>
      </c>
    </row>
    <row r="10" spans="1:17" ht="14.4" customHeight="1" x14ac:dyDescent="0.3">
      <c r="A10" s="27" t="s">
        <v>68</v>
      </c>
      <c r="B10" s="31">
        <f>35535.49</f>
        <v>35535.49</v>
      </c>
      <c r="C10" s="16"/>
      <c r="D10" s="30">
        <v>18655</v>
      </c>
      <c r="E10" s="16"/>
      <c r="F10" s="30">
        <v>32000</v>
      </c>
      <c r="G10" s="16"/>
      <c r="H10" s="16"/>
      <c r="I10" s="16"/>
      <c r="J10" s="30">
        <v>31522.880000000001</v>
      </c>
      <c r="K10" s="16"/>
      <c r="L10" s="28">
        <v>32000</v>
      </c>
      <c r="M10" s="16"/>
      <c r="N10" s="57">
        <v>32000</v>
      </c>
      <c r="P10" s="57">
        <v>31406.28</v>
      </c>
    </row>
    <row r="11" spans="1:17" ht="14.4" customHeight="1" x14ac:dyDescent="0.3">
      <c r="A11" s="27" t="s">
        <v>69</v>
      </c>
      <c r="B11" s="31"/>
      <c r="C11" s="16"/>
      <c r="D11" s="30"/>
      <c r="E11" s="16"/>
      <c r="F11" s="30"/>
      <c r="G11" s="16"/>
      <c r="H11" s="16"/>
      <c r="I11" s="16"/>
      <c r="J11" s="30"/>
      <c r="K11" s="16"/>
      <c r="L11" s="28">
        <v>700</v>
      </c>
      <c r="M11" s="16"/>
      <c r="N11" s="57">
        <v>800</v>
      </c>
      <c r="P11" s="57">
        <v>789.75</v>
      </c>
    </row>
    <row r="12" spans="1:17" ht="14.4" customHeight="1" x14ac:dyDescent="0.3">
      <c r="A12" s="27" t="s">
        <v>70</v>
      </c>
      <c r="B12" s="31">
        <v>1662.98</v>
      </c>
      <c r="C12" s="16"/>
      <c r="D12" s="30">
        <v>0</v>
      </c>
      <c r="E12" s="16"/>
      <c r="F12" s="30">
        <v>22000</v>
      </c>
      <c r="G12" s="16"/>
      <c r="H12" s="16"/>
      <c r="I12" s="16"/>
      <c r="J12" s="30">
        <v>28517.37</v>
      </c>
      <c r="K12" s="16"/>
      <c r="L12" s="28">
        <v>32000</v>
      </c>
      <c r="M12" s="16"/>
      <c r="N12" s="57">
        <v>45000</v>
      </c>
      <c r="P12" s="57">
        <v>39698.93</v>
      </c>
    </row>
    <row r="13" spans="1:17" ht="14.4" customHeight="1" x14ac:dyDescent="0.3">
      <c r="A13" s="27" t="s">
        <v>71</v>
      </c>
      <c r="B13" s="31">
        <v>0</v>
      </c>
      <c r="C13" s="16"/>
      <c r="D13" s="30">
        <v>50</v>
      </c>
      <c r="E13" s="16"/>
      <c r="F13" s="30">
        <v>0</v>
      </c>
      <c r="G13" s="16"/>
      <c r="H13" s="16"/>
      <c r="I13" s="16"/>
      <c r="J13" s="30">
        <v>434.1</v>
      </c>
      <c r="K13" s="16"/>
      <c r="L13" s="28">
        <v>650</v>
      </c>
      <c r="M13" s="16"/>
    </row>
    <row r="14" spans="1:17" ht="14.4" customHeight="1" x14ac:dyDescent="0.3">
      <c r="A14" s="27" t="s">
        <v>72</v>
      </c>
      <c r="B14" s="31">
        <f>202.45</f>
        <v>202.45</v>
      </c>
      <c r="C14" s="16"/>
      <c r="D14" s="30">
        <v>75</v>
      </c>
      <c r="E14" s="16"/>
      <c r="F14" s="30">
        <v>250</v>
      </c>
      <c r="G14" s="16"/>
      <c r="H14" s="16"/>
      <c r="I14" s="16"/>
      <c r="J14" s="30">
        <v>34.630000000000003</v>
      </c>
      <c r="K14" s="16"/>
      <c r="L14" s="28">
        <v>35</v>
      </c>
      <c r="M14" s="16"/>
    </row>
    <row r="15" spans="1:17" s="16" customFormat="1" ht="14.4" customHeight="1" x14ac:dyDescent="0.3">
      <c r="A15" s="27" t="s">
        <v>123</v>
      </c>
      <c r="B15" s="31"/>
      <c r="D15" s="30"/>
      <c r="F15" s="30"/>
      <c r="J15" s="30"/>
      <c r="L15" s="28"/>
      <c r="N15" s="57">
        <v>0</v>
      </c>
      <c r="O15" s="57"/>
      <c r="P15" s="57">
        <v>25</v>
      </c>
      <c r="Q15" s="57"/>
    </row>
    <row r="16" spans="1:17" s="16" customFormat="1" ht="14.4" customHeight="1" x14ac:dyDescent="0.3">
      <c r="A16" s="27" t="s">
        <v>124</v>
      </c>
      <c r="B16" s="31"/>
      <c r="D16" s="30"/>
      <c r="F16" s="30"/>
      <c r="J16" s="30"/>
      <c r="L16" s="28"/>
      <c r="N16" s="57">
        <v>200</v>
      </c>
      <c r="O16" s="57"/>
      <c r="P16" s="57">
        <v>203.94</v>
      </c>
      <c r="Q16" s="57"/>
    </row>
    <row r="17" spans="1:17" ht="14.4" customHeight="1" x14ac:dyDescent="0.3">
      <c r="A17" s="32" t="s">
        <v>8</v>
      </c>
      <c r="B17" s="33">
        <f>1099.85</f>
        <v>1099.8499999999999</v>
      </c>
      <c r="C17" s="34"/>
      <c r="D17" s="35">
        <v>46500</v>
      </c>
      <c r="E17" s="34"/>
      <c r="F17" s="35">
        <v>1500</v>
      </c>
      <c r="G17" s="34"/>
      <c r="H17" s="34"/>
      <c r="I17" s="34"/>
      <c r="J17" s="35">
        <v>14176.79</v>
      </c>
      <c r="K17" s="34"/>
      <c r="L17" s="36">
        <v>14000</v>
      </c>
      <c r="M17" s="34"/>
      <c r="N17" s="57">
        <v>1100</v>
      </c>
      <c r="P17" s="57">
        <v>1140.69</v>
      </c>
    </row>
    <row r="18" spans="1:17" ht="14.4" customHeight="1" x14ac:dyDescent="0.3">
      <c r="A18" s="32" t="s">
        <v>73</v>
      </c>
      <c r="B18" s="33">
        <f>10790.09</f>
        <v>10790.09</v>
      </c>
      <c r="C18" s="34"/>
      <c r="D18" s="35">
        <v>0</v>
      </c>
      <c r="E18" s="34"/>
      <c r="F18" s="35">
        <v>12000</v>
      </c>
      <c r="G18" s="34"/>
      <c r="H18" s="34"/>
      <c r="I18" s="34"/>
      <c r="J18" s="35">
        <v>9345.48</v>
      </c>
      <c r="K18" s="34"/>
      <c r="L18" s="36">
        <v>13500</v>
      </c>
      <c r="M18" s="34"/>
      <c r="N18" s="63">
        <v>13500</v>
      </c>
    </row>
    <row r="19" spans="1:17" ht="14.4" customHeight="1" x14ac:dyDescent="0.45">
      <c r="A19" s="37" t="s">
        <v>74</v>
      </c>
      <c r="B19" s="33">
        <v>26648.31</v>
      </c>
      <c r="C19" s="34"/>
      <c r="D19" s="38">
        <v>0</v>
      </c>
      <c r="E19" s="34"/>
      <c r="F19" s="39">
        <v>27000</v>
      </c>
      <c r="G19" s="34"/>
      <c r="H19" s="34"/>
      <c r="I19" s="34" t="s">
        <v>75</v>
      </c>
      <c r="J19" s="38">
        <v>18574.23</v>
      </c>
      <c r="K19" s="34"/>
      <c r="L19" s="36">
        <v>18500</v>
      </c>
      <c r="M19" s="34"/>
      <c r="N19" s="57">
        <v>25000</v>
      </c>
      <c r="P19" s="57">
        <v>17022</v>
      </c>
    </row>
    <row r="20" spans="1:17" ht="14.4" customHeight="1" x14ac:dyDescent="0.3">
      <c r="A20" s="32" t="s">
        <v>10</v>
      </c>
      <c r="B20" s="40">
        <f>(B17)+(B18)+B19</f>
        <v>38538.25</v>
      </c>
      <c r="C20" s="34"/>
      <c r="D20" s="41">
        <f>SUM(D17:D19)</f>
        <v>46500</v>
      </c>
      <c r="E20" s="34"/>
      <c r="F20" s="34"/>
      <c r="G20" s="41">
        <f t="shared" ref="G20:J20" si="0">SUM(G17:G19)</f>
        <v>0</v>
      </c>
      <c r="H20" s="41">
        <f t="shared" si="0"/>
        <v>0</v>
      </c>
      <c r="I20" s="41">
        <f t="shared" si="0"/>
        <v>0</v>
      </c>
      <c r="J20" s="41">
        <f t="shared" si="0"/>
        <v>42096.5</v>
      </c>
      <c r="K20" s="41">
        <f>SUM(F17:F19)</f>
        <v>40500</v>
      </c>
      <c r="L20" s="36"/>
      <c r="M20" s="41">
        <f>SUM(L17:L19)</f>
        <v>46000</v>
      </c>
      <c r="O20" s="59">
        <v>26100</v>
      </c>
      <c r="Q20" s="59">
        <f>SUM(P17:P19)</f>
        <v>18162.689999999999</v>
      </c>
    </row>
    <row r="21" spans="1:17" ht="14.4" customHeight="1" x14ac:dyDescent="0.3">
      <c r="A21" s="27"/>
      <c r="B21" s="42"/>
      <c r="C21" s="16"/>
      <c r="D21" s="30"/>
      <c r="E21" s="16"/>
      <c r="F21" s="30"/>
      <c r="G21" s="16"/>
      <c r="H21" s="16"/>
      <c r="I21" s="16"/>
      <c r="J21" s="30"/>
      <c r="K21" s="16"/>
      <c r="L21" s="28"/>
      <c r="M21" s="16"/>
    </row>
    <row r="22" spans="1:17" ht="14.4" customHeight="1" x14ac:dyDescent="0.3">
      <c r="A22" s="27" t="s">
        <v>76</v>
      </c>
      <c r="B22" s="31">
        <f>2750.04</f>
        <v>2750.04</v>
      </c>
      <c r="C22" s="16"/>
      <c r="D22" s="30">
        <v>6000</v>
      </c>
      <c r="E22" s="16"/>
      <c r="F22" s="30">
        <v>3500</v>
      </c>
      <c r="G22" s="16"/>
      <c r="H22" s="16"/>
      <c r="I22" s="16"/>
      <c r="J22" s="30">
        <v>5870.04</v>
      </c>
      <c r="K22" s="16"/>
      <c r="L22" s="28">
        <v>2500</v>
      </c>
      <c r="M22" s="16"/>
      <c r="N22" s="57">
        <v>2750</v>
      </c>
      <c r="P22" s="57">
        <v>2750.04</v>
      </c>
    </row>
    <row r="23" spans="1:17" ht="28.2" customHeight="1" x14ac:dyDescent="0.3">
      <c r="A23" s="43" t="s">
        <v>77</v>
      </c>
      <c r="B23" s="44">
        <f>939.71</f>
        <v>939.71</v>
      </c>
      <c r="C23" s="45"/>
      <c r="D23" s="46">
        <v>0</v>
      </c>
      <c r="E23" s="45"/>
      <c r="F23" s="46"/>
      <c r="G23" s="45"/>
      <c r="H23" s="45"/>
      <c r="I23" s="45" t="s">
        <v>78</v>
      </c>
      <c r="J23" s="46"/>
      <c r="K23" s="45"/>
      <c r="L23" s="47"/>
      <c r="M23" s="45"/>
    </row>
    <row r="24" spans="1:17" ht="14.4" customHeight="1" x14ac:dyDescent="0.3">
      <c r="A24" s="27" t="s">
        <v>12</v>
      </c>
      <c r="B24" s="31">
        <f>226.77</f>
        <v>226.77</v>
      </c>
      <c r="C24" s="16"/>
      <c r="D24" s="30">
        <v>900</v>
      </c>
      <c r="E24" s="16"/>
      <c r="F24" s="30">
        <v>300</v>
      </c>
      <c r="G24" s="16"/>
      <c r="H24" s="16"/>
      <c r="I24" s="16"/>
      <c r="J24" s="30">
        <v>847.14</v>
      </c>
      <c r="K24" s="16"/>
      <c r="L24" s="28">
        <v>400</v>
      </c>
      <c r="M24" s="16"/>
      <c r="N24" s="57">
        <v>160</v>
      </c>
      <c r="P24" s="57">
        <v>158.69999999999999</v>
      </c>
    </row>
    <row r="25" spans="1:17" ht="14.4" customHeight="1" x14ac:dyDescent="0.3">
      <c r="A25" s="27" t="s">
        <v>79</v>
      </c>
      <c r="B25" s="31"/>
      <c r="C25" s="16"/>
      <c r="D25" s="30"/>
      <c r="E25" s="16"/>
      <c r="F25" s="30"/>
      <c r="G25" s="16"/>
      <c r="H25" s="16"/>
      <c r="I25" s="16"/>
      <c r="J25" s="30">
        <v>1111.24</v>
      </c>
      <c r="K25" s="16"/>
      <c r="L25" s="28"/>
      <c r="M25" s="16"/>
    </row>
    <row r="26" spans="1:17" ht="14.4" customHeight="1" x14ac:dyDescent="0.3">
      <c r="A26" s="27" t="s">
        <v>80</v>
      </c>
      <c r="B26" s="31">
        <f>170</f>
        <v>170</v>
      </c>
      <c r="C26" s="16"/>
      <c r="D26" s="30">
        <v>0</v>
      </c>
      <c r="E26" s="16"/>
      <c r="F26" s="30">
        <v>150</v>
      </c>
      <c r="G26" s="16"/>
      <c r="H26" s="16"/>
      <c r="I26" s="16"/>
      <c r="J26" s="30">
        <v>0</v>
      </c>
      <c r="K26" s="16"/>
      <c r="L26" s="28"/>
      <c r="M26" s="16"/>
    </row>
    <row r="27" spans="1:17" ht="14.4" customHeight="1" x14ac:dyDescent="0.3">
      <c r="A27" s="27" t="s">
        <v>81</v>
      </c>
      <c r="B27" s="31">
        <f>25</f>
        <v>25</v>
      </c>
      <c r="C27" s="16"/>
      <c r="D27" s="30">
        <v>3000</v>
      </c>
      <c r="E27" s="16"/>
      <c r="F27" s="30">
        <v>1000</v>
      </c>
      <c r="G27" s="16"/>
      <c r="H27" s="16"/>
      <c r="I27" s="16"/>
      <c r="J27" s="30">
        <v>415</v>
      </c>
      <c r="K27" s="16"/>
      <c r="L27" s="47">
        <v>0</v>
      </c>
      <c r="M27" s="16"/>
      <c r="N27" s="57">
        <v>60</v>
      </c>
      <c r="P27" s="57">
        <v>28.47</v>
      </c>
    </row>
    <row r="28" spans="1:17" ht="14.4" customHeight="1" x14ac:dyDescent="0.3">
      <c r="A28" s="27" t="s">
        <v>82</v>
      </c>
      <c r="B28" s="48">
        <v>0</v>
      </c>
      <c r="C28" s="16"/>
      <c r="D28" s="30">
        <v>3500</v>
      </c>
      <c r="E28" s="16"/>
      <c r="F28" s="30">
        <v>1000</v>
      </c>
      <c r="G28" s="16"/>
      <c r="H28" s="16"/>
      <c r="I28" s="16"/>
      <c r="J28" s="30">
        <v>0</v>
      </c>
      <c r="K28" s="16"/>
      <c r="L28" s="47">
        <v>0</v>
      </c>
      <c r="M28" s="16"/>
    </row>
    <row r="29" spans="1:17" ht="14.4" customHeight="1" x14ac:dyDescent="0.3">
      <c r="A29" s="27" t="s">
        <v>83</v>
      </c>
      <c r="B29" s="48"/>
      <c r="C29" s="16"/>
      <c r="D29" s="30"/>
      <c r="E29" s="16"/>
      <c r="F29" s="30">
        <v>1000</v>
      </c>
      <c r="G29" s="16"/>
      <c r="H29" s="16"/>
      <c r="I29" s="16"/>
      <c r="J29" s="30"/>
      <c r="K29" s="16"/>
      <c r="L29" s="47">
        <v>0</v>
      </c>
      <c r="M29" s="16"/>
    </row>
    <row r="30" spans="1:17" ht="14.4" customHeight="1" x14ac:dyDescent="0.3">
      <c r="A30" s="27" t="s">
        <v>84</v>
      </c>
      <c r="B30" s="48">
        <v>0</v>
      </c>
      <c r="C30" s="16"/>
      <c r="D30" s="30">
        <v>750</v>
      </c>
      <c r="E30" s="16"/>
      <c r="F30" s="30">
        <v>1000</v>
      </c>
      <c r="G30" s="16"/>
      <c r="H30" s="16"/>
      <c r="I30" s="16"/>
      <c r="J30" s="30">
        <v>215</v>
      </c>
      <c r="K30" s="16"/>
      <c r="L30" s="47">
        <v>0</v>
      </c>
      <c r="M30" s="16"/>
    </row>
    <row r="31" spans="1:17" ht="14.4" customHeight="1" x14ac:dyDescent="0.3">
      <c r="A31" s="27" t="s">
        <v>85</v>
      </c>
      <c r="B31" s="48">
        <v>0</v>
      </c>
      <c r="C31" s="16"/>
      <c r="D31" s="30">
        <v>1000</v>
      </c>
      <c r="E31" s="16"/>
      <c r="F31" s="30">
        <v>1000</v>
      </c>
      <c r="G31" s="16"/>
      <c r="H31" s="16"/>
      <c r="I31" s="16"/>
      <c r="J31" s="30">
        <v>0</v>
      </c>
      <c r="K31" s="16"/>
      <c r="L31" s="47">
        <v>0</v>
      </c>
      <c r="M31" s="16"/>
    </row>
    <row r="32" spans="1:17" ht="14.4" customHeight="1" x14ac:dyDescent="0.3">
      <c r="A32" s="27" t="s">
        <v>86</v>
      </c>
      <c r="B32" s="48">
        <v>0</v>
      </c>
      <c r="C32" s="16"/>
      <c r="D32" s="30">
        <v>1000</v>
      </c>
      <c r="E32" s="16"/>
      <c r="F32" s="30">
        <v>1000</v>
      </c>
      <c r="G32" s="16"/>
      <c r="H32" s="16"/>
      <c r="I32" s="16"/>
      <c r="J32" s="30"/>
      <c r="K32" s="16"/>
      <c r="L32" s="47">
        <v>0</v>
      </c>
      <c r="M32" s="16"/>
    </row>
    <row r="33" spans="1:17" ht="14.4" customHeight="1" x14ac:dyDescent="0.3">
      <c r="A33" s="27" t="s">
        <v>87</v>
      </c>
      <c r="B33" s="48"/>
      <c r="C33" s="16"/>
      <c r="D33" s="30"/>
      <c r="E33" s="16"/>
      <c r="F33" s="30">
        <v>1000</v>
      </c>
      <c r="G33" s="16"/>
      <c r="H33" s="16"/>
      <c r="I33" s="16"/>
      <c r="J33" s="30"/>
      <c r="K33" s="16"/>
      <c r="L33" s="47">
        <v>0</v>
      </c>
      <c r="M33" s="16"/>
    </row>
    <row r="34" spans="1:17" ht="14.4" customHeight="1" x14ac:dyDescent="0.3">
      <c r="A34" s="43" t="s">
        <v>88</v>
      </c>
      <c r="B34" s="49"/>
      <c r="C34" s="45"/>
      <c r="D34" s="46"/>
      <c r="E34" s="45"/>
      <c r="F34" s="46">
        <v>1000</v>
      </c>
      <c r="G34" s="45"/>
      <c r="H34" s="45"/>
      <c r="I34" s="45"/>
      <c r="J34" s="46">
        <v>435.99</v>
      </c>
      <c r="K34" s="45"/>
      <c r="L34" s="47">
        <v>400</v>
      </c>
      <c r="M34" s="45"/>
    </row>
    <row r="35" spans="1:17" ht="14.4" customHeight="1" x14ac:dyDescent="0.3">
      <c r="A35" s="27" t="s">
        <v>89</v>
      </c>
      <c r="B35" s="31">
        <f>939.71</f>
        <v>939.71</v>
      </c>
      <c r="C35" s="16"/>
      <c r="D35" s="30">
        <v>0</v>
      </c>
      <c r="E35" s="16"/>
      <c r="F35" s="30">
        <v>1000</v>
      </c>
      <c r="G35" s="16"/>
      <c r="H35" s="16"/>
      <c r="I35" s="16" t="s">
        <v>78</v>
      </c>
      <c r="J35" s="30">
        <v>0</v>
      </c>
      <c r="K35" s="16"/>
      <c r="L35" s="28">
        <v>0</v>
      </c>
      <c r="M35" s="16"/>
    </row>
    <row r="36" spans="1:17" s="16" customFormat="1" ht="31.8" customHeight="1" x14ac:dyDescent="0.3">
      <c r="A36" s="27" t="s">
        <v>125</v>
      </c>
      <c r="B36" s="31"/>
      <c r="D36" s="30"/>
      <c r="F36" s="30"/>
      <c r="J36" s="30"/>
      <c r="L36" s="28"/>
      <c r="N36" s="57">
        <v>3000</v>
      </c>
      <c r="O36" s="57"/>
      <c r="P36" s="57">
        <v>2776.11</v>
      </c>
      <c r="Q36" s="57"/>
    </row>
    <row r="37" spans="1:17" s="61" customFormat="1" ht="14.4" customHeight="1" x14ac:dyDescent="0.3">
      <c r="A37" s="27" t="s">
        <v>16</v>
      </c>
      <c r="B37" s="50" t="e">
        <f>((((((((((((((B8)+(B10))+(B12))+(B14))+(#REF!))+(#REF!))+(#REF!))+(B20))+(B22))+(B24))+(B26))+(B27))+(B23))+(B35))+(#REF!)</f>
        <v>#REF!</v>
      </c>
      <c r="D37" s="51" t="e">
        <f>((((((((((((((D8)+(D10))+(D12))+(D14))+(#REF!))+(#REF!))+(#REF!))+(D20))+(D22))+(D24))+(D26))+(D27))+(D23))+(D35))+(#REF!)+D7+D13+D28+D30+D31+D32</f>
        <v>#REF!</v>
      </c>
      <c r="F37" s="53">
        <f>+SUM(F7:F14)+K20+SUM(F22:F35)</f>
        <v>108500</v>
      </c>
      <c r="J37" s="53">
        <f>+SUM(J7:J14)+J20+SUM(J22:J35)</f>
        <v>112299.89</v>
      </c>
      <c r="L37" s="19">
        <f>SUM(L7:L35)</f>
        <v>116535</v>
      </c>
      <c r="M37" s="19"/>
      <c r="N37" s="59">
        <f>SUM(N7:N36)</f>
        <v>124970</v>
      </c>
      <c r="O37" s="59"/>
      <c r="P37" s="59">
        <f>SUM(P6:P36)</f>
        <v>97498.14</v>
      </c>
      <c r="Q37" s="59"/>
    </row>
    <row r="38" spans="1:17" ht="14.4" customHeight="1" x14ac:dyDescent="0.3">
      <c r="A38" s="27"/>
      <c r="B38" s="50"/>
      <c r="C38" s="16"/>
      <c r="D38" s="42"/>
      <c r="E38" s="16"/>
      <c r="F38" s="42"/>
      <c r="G38" s="16"/>
      <c r="H38" s="16"/>
      <c r="I38" s="16"/>
      <c r="J38" s="16"/>
      <c r="K38" s="16"/>
      <c r="L38" s="28"/>
      <c r="M38" s="16"/>
    </row>
    <row r="39" spans="1:17" ht="14.4" customHeight="1" x14ac:dyDescent="0.3">
      <c r="A39" s="27"/>
      <c r="B39" s="42"/>
      <c r="C39" s="16"/>
      <c r="D39" s="42"/>
      <c r="E39" s="16"/>
      <c r="F39" s="42"/>
      <c r="G39" s="16"/>
      <c r="H39" s="16"/>
      <c r="I39" s="16"/>
      <c r="J39" s="19"/>
      <c r="K39" s="16"/>
      <c r="L39" s="28"/>
      <c r="M39" s="16"/>
    </row>
    <row r="40" spans="1:17" ht="14.4" customHeight="1" x14ac:dyDescent="0.3">
      <c r="A40" s="27" t="s">
        <v>17</v>
      </c>
      <c r="B40" s="29"/>
      <c r="C40" s="16"/>
      <c r="D40" s="16"/>
      <c r="E40" s="16"/>
      <c r="F40" s="16"/>
      <c r="G40" s="16"/>
      <c r="H40" s="16"/>
      <c r="I40" s="16"/>
      <c r="J40" s="16"/>
      <c r="K40" s="16"/>
      <c r="L40" s="28"/>
      <c r="M40" s="16"/>
    </row>
    <row r="41" spans="1:17" ht="14.4" customHeight="1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8"/>
      <c r="M41" s="16"/>
    </row>
    <row r="42" spans="1:17" ht="14.4" customHeight="1" x14ac:dyDescent="0.3">
      <c r="A42" s="27" t="s">
        <v>90</v>
      </c>
      <c r="B42" s="31">
        <f>1070.18</f>
        <v>1070.18</v>
      </c>
      <c r="C42" s="16"/>
      <c r="D42" s="30">
        <v>0</v>
      </c>
      <c r="E42" s="16"/>
      <c r="F42" s="30">
        <f>ROUNDUP(G42,-2)</f>
        <v>1200</v>
      </c>
      <c r="G42" s="16">
        <f t="shared" ref="G42:G81" si="1">+B42*1.08</f>
        <v>1155.7944000000002</v>
      </c>
      <c r="H42" s="16"/>
      <c r="I42" s="16"/>
      <c r="J42" s="30">
        <v>303.27</v>
      </c>
      <c r="K42" s="16"/>
      <c r="L42" s="28">
        <v>0</v>
      </c>
      <c r="M42" s="16"/>
    </row>
    <row r="43" spans="1:17" ht="14.4" customHeight="1" x14ac:dyDescent="0.3">
      <c r="A43" s="27" t="s">
        <v>91</v>
      </c>
      <c r="B43" s="31">
        <f>7762.73</f>
        <v>7762.73</v>
      </c>
      <c r="C43" s="16"/>
      <c r="D43" s="30">
        <v>6000</v>
      </c>
      <c r="E43" s="16"/>
      <c r="F43" s="30">
        <f t="shared" ref="F43:F79" si="2">ROUNDUP(G43,-2)</f>
        <v>8400</v>
      </c>
      <c r="G43" s="16">
        <f t="shared" si="1"/>
        <v>8383.7484000000004</v>
      </c>
      <c r="H43" s="16"/>
      <c r="I43" s="16"/>
      <c r="J43" s="30">
        <v>13306.97</v>
      </c>
      <c r="K43" s="16"/>
      <c r="L43" s="28">
        <v>15000</v>
      </c>
      <c r="M43" s="16"/>
      <c r="N43" s="57">
        <v>8400</v>
      </c>
      <c r="P43" s="57">
        <v>8384.9699999999993</v>
      </c>
    </row>
    <row r="44" spans="1:17" ht="28.2" customHeight="1" x14ac:dyDescent="0.3">
      <c r="A44" s="27" t="s">
        <v>20</v>
      </c>
      <c r="B44" s="31">
        <f>883</f>
        <v>883</v>
      </c>
      <c r="C44" s="16"/>
      <c r="D44" s="30">
        <v>700</v>
      </c>
      <c r="E44" s="16"/>
      <c r="F44" s="30">
        <f t="shared" si="2"/>
        <v>1000</v>
      </c>
      <c r="G44" s="16">
        <f t="shared" si="1"/>
        <v>953.6400000000001</v>
      </c>
      <c r="H44" s="16"/>
      <c r="I44" s="16"/>
      <c r="J44" s="30"/>
      <c r="K44" s="16"/>
      <c r="L44" s="28"/>
      <c r="M44" s="16"/>
      <c r="N44" s="57">
        <v>1800</v>
      </c>
      <c r="P44" s="57">
        <v>1770</v>
      </c>
    </row>
    <row r="45" spans="1:17" ht="27" customHeight="1" x14ac:dyDescent="0.3">
      <c r="A45" s="27" t="s">
        <v>92</v>
      </c>
      <c r="B45" s="31"/>
      <c r="C45" s="16"/>
      <c r="D45" s="30"/>
      <c r="E45" s="16"/>
      <c r="F45" s="30">
        <v>1500</v>
      </c>
      <c r="G45" s="16"/>
      <c r="H45" s="16"/>
      <c r="I45" s="16"/>
      <c r="J45" s="30"/>
      <c r="K45" s="16"/>
      <c r="L45" s="28">
        <v>2500</v>
      </c>
      <c r="M45" s="16"/>
      <c r="N45" s="62">
        <v>2000</v>
      </c>
    </row>
    <row r="46" spans="1:17" ht="14.4" customHeight="1" x14ac:dyDescent="0.3">
      <c r="A46" s="27" t="s">
        <v>93</v>
      </c>
      <c r="B46" s="31"/>
      <c r="C46" s="16"/>
      <c r="D46" s="30"/>
      <c r="E46" s="16"/>
      <c r="F46" s="30"/>
      <c r="G46" s="16"/>
      <c r="H46" s="16"/>
      <c r="I46" s="16"/>
      <c r="J46" s="30"/>
      <c r="K46" s="16"/>
      <c r="L46" s="28">
        <v>2500</v>
      </c>
      <c r="M46" s="16"/>
      <c r="N46" s="60"/>
    </row>
    <row r="47" spans="1:17" ht="14.4" customHeight="1" x14ac:dyDescent="0.3">
      <c r="A47" s="27" t="s">
        <v>21</v>
      </c>
      <c r="B47" s="31">
        <f>3485.48</f>
        <v>3485.48</v>
      </c>
      <c r="C47" s="16"/>
      <c r="D47" s="30">
        <v>0</v>
      </c>
      <c r="E47" s="16"/>
      <c r="F47" s="30">
        <f t="shared" si="2"/>
        <v>3800</v>
      </c>
      <c r="G47" s="16">
        <f t="shared" si="1"/>
        <v>3764.3184000000001</v>
      </c>
      <c r="H47" s="16"/>
      <c r="I47" s="16"/>
      <c r="J47" s="30">
        <v>1338.97</v>
      </c>
      <c r="K47" s="16"/>
      <c r="L47" s="28">
        <v>6500</v>
      </c>
      <c r="M47" s="16"/>
      <c r="N47" s="63">
        <v>7500</v>
      </c>
      <c r="P47" s="57">
        <v>2426.4299999999998</v>
      </c>
    </row>
    <row r="48" spans="1:17" ht="14.4" customHeight="1" x14ac:dyDescent="0.3">
      <c r="A48" s="27" t="s">
        <v>94</v>
      </c>
      <c r="B48" s="31">
        <f>11505.32</f>
        <v>11505.32</v>
      </c>
      <c r="C48" s="16"/>
      <c r="D48" s="30">
        <v>15000</v>
      </c>
      <c r="E48" s="16"/>
      <c r="F48" s="30">
        <f t="shared" si="2"/>
        <v>12500</v>
      </c>
      <c r="G48" s="16">
        <f t="shared" si="1"/>
        <v>12425.7456</v>
      </c>
      <c r="H48" s="16"/>
      <c r="I48" s="16"/>
      <c r="J48" s="30">
        <v>4485.7700000000004</v>
      </c>
      <c r="K48" s="16"/>
      <c r="L48" s="28">
        <v>15000</v>
      </c>
      <c r="M48" s="16"/>
      <c r="N48" s="63">
        <v>20000</v>
      </c>
    </row>
    <row r="49" spans="1:17" ht="14.4" customHeight="1" x14ac:dyDescent="0.3">
      <c r="A49" s="27" t="s">
        <v>95</v>
      </c>
      <c r="B49" s="31">
        <f>1234.34</f>
        <v>1234.3399999999999</v>
      </c>
      <c r="C49" s="16"/>
      <c r="D49" s="30">
        <v>0</v>
      </c>
      <c r="E49" s="16"/>
      <c r="F49" s="30">
        <f t="shared" si="2"/>
        <v>1400</v>
      </c>
      <c r="G49" s="16">
        <f t="shared" si="1"/>
        <v>1333.0871999999999</v>
      </c>
      <c r="H49" s="16"/>
      <c r="I49" s="16"/>
      <c r="J49" s="30">
        <v>2061.69</v>
      </c>
      <c r="K49" s="16"/>
      <c r="L49" s="28">
        <v>9000</v>
      </c>
      <c r="M49" s="16"/>
      <c r="N49" s="63">
        <v>12000</v>
      </c>
    </row>
    <row r="50" spans="1:17" ht="14.4" customHeight="1" x14ac:dyDescent="0.3">
      <c r="A50" s="27" t="s">
        <v>96</v>
      </c>
      <c r="B50" s="31">
        <v>0</v>
      </c>
      <c r="C50" s="16"/>
      <c r="D50" s="30">
        <v>1930</v>
      </c>
      <c r="E50" s="16"/>
      <c r="F50" s="30">
        <v>500</v>
      </c>
      <c r="G50" s="16"/>
      <c r="H50" s="16"/>
      <c r="I50" s="16"/>
      <c r="J50" s="30">
        <v>0</v>
      </c>
      <c r="K50" s="16"/>
      <c r="L50" s="28"/>
      <c r="M50" s="16"/>
    </row>
    <row r="51" spans="1:17" ht="14.4" customHeight="1" x14ac:dyDescent="0.3">
      <c r="A51" s="43" t="s">
        <v>97</v>
      </c>
      <c r="B51" s="31"/>
      <c r="C51" s="16"/>
      <c r="D51" s="30"/>
      <c r="E51" s="16"/>
      <c r="F51" s="30"/>
      <c r="G51" s="16"/>
      <c r="H51" s="16"/>
      <c r="I51" s="16"/>
      <c r="J51" s="30"/>
      <c r="K51" s="16"/>
      <c r="L51" s="28">
        <v>7500</v>
      </c>
      <c r="M51" s="16"/>
      <c r="N51" s="60"/>
    </row>
    <row r="52" spans="1:17" ht="14.4" customHeight="1" x14ac:dyDescent="0.3">
      <c r="A52" s="27" t="s">
        <v>22</v>
      </c>
      <c r="B52" s="31">
        <f>2309.91</f>
        <v>2309.91</v>
      </c>
      <c r="C52" s="16"/>
      <c r="D52" s="30">
        <v>6000</v>
      </c>
      <c r="E52" s="16"/>
      <c r="F52" s="30">
        <f t="shared" si="2"/>
        <v>2500</v>
      </c>
      <c r="G52" s="16">
        <f t="shared" si="1"/>
        <v>2494.7028</v>
      </c>
      <c r="H52" s="16"/>
      <c r="I52" s="16"/>
      <c r="J52" s="30">
        <v>3545.64</v>
      </c>
      <c r="K52" s="16"/>
      <c r="L52" s="28"/>
      <c r="M52" s="16"/>
      <c r="N52" s="62">
        <v>2500</v>
      </c>
      <c r="P52" s="57">
        <v>439.96</v>
      </c>
    </row>
    <row r="53" spans="1:17" ht="14.4" customHeight="1" x14ac:dyDescent="0.3">
      <c r="A53" s="27" t="s">
        <v>98</v>
      </c>
      <c r="B53" s="31">
        <v>0</v>
      </c>
      <c r="C53" s="16"/>
      <c r="D53" s="30">
        <v>2000</v>
      </c>
      <c r="E53" s="16"/>
      <c r="F53" s="30">
        <v>500</v>
      </c>
      <c r="G53" s="16"/>
      <c r="H53" s="16"/>
      <c r="I53" s="16"/>
      <c r="J53" s="30">
        <v>1548.46</v>
      </c>
      <c r="K53" s="16"/>
      <c r="L53" s="28">
        <v>2500</v>
      </c>
      <c r="M53" s="16"/>
      <c r="N53" s="62">
        <v>2500</v>
      </c>
      <c r="P53" s="57">
        <v>679.6</v>
      </c>
    </row>
    <row r="54" spans="1:17" ht="14.4" customHeight="1" x14ac:dyDescent="0.3">
      <c r="A54" s="27" t="s">
        <v>24</v>
      </c>
      <c r="B54" s="31">
        <f>144.67</f>
        <v>144.66999999999999</v>
      </c>
      <c r="C54" s="16"/>
      <c r="D54" s="30">
        <v>0</v>
      </c>
      <c r="E54" s="16"/>
      <c r="F54" s="30">
        <f t="shared" si="2"/>
        <v>200</v>
      </c>
      <c r="G54" s="16">
        <f t="shared" si="1"/>
        <v>156.24359999999999</v>
      </c>
      <c r="H54" s="16"/>
      <c r="I54" s="16"/>
      <c r="J54" s="30">
        <v>0</v>
      </c>
      <c r="K54" s="16"/>
      <c r="L54" s="28"/>
      <c r="M54" s="16"/>
      <c r="N54" s="57">
        <v>1100</v>
      </c>
      <c r="P54" s="57">
        <v>1006.77</v>
      </c>
    </row>
    <row r="55" spans="1:17" ht="14.4" customHeight="1" x14ac:dyDescent="0.3">
      <c r="A55" s="27" t="s">
        <v>99</v>
      </c>
      <c r="B55" s="31">
        <f>2897.2</f>
        <v>2897.2</v>
      </c>
      <c r="C55" s="16"/>
      <c r="D55" s="30">
        <v>5000</v>
      </c>
      <c r="E55" s="16"/>
      <c r="F55" s="30">
        <f t="shared" si="2"/>
        <v>3200</v>
      </c>
      <c r="G55" s="16">
        <f t="shared" si="1"/>
        <v>3128.9760000000001</v>
      </c>
      <c r="H55" s="16"/>
      <c r="I55" s="16"/>
      <c r="J55" s="30">
        <v>1268.06</v>
      </c>
      <c r="K55" s="16"/>
      <c r="L55" s="28">
        <v>7500</v>
      </c>
      <c r="M55" s="16"/>
      <c r="N55" s="57">
        <v>6200</v>
      </c>
      <c r="O55" s="57" t="s">
        <v>135</v>
      </c>
      <c r="P55" s="57">
        <v>6141.72</v>
      </c>
    </row>
    <row r="56" spans="1:17" ht="14.4" customHeight="1" x14ac:dyDescent="0.3">
      <c r="A56" s="27" t="s">
        <v>100</v>
      </c>
      <c r="B56" s="31">
        <f>207.49</f>
        <v>207.49</v>
      </c>
      <c r="C56" s="16"/>
      <c r="D56" s="30">
        <v>350</v>
      </c>
      <c r="E56" s="16"/>
      <c r="F56" s="30">
        <f t="shared" si="2"/>
        <v>300</v>
      </c>
      <c r="G56" s="16">
        <f t="shared" si="1"/>
        <v>224.08920000000003</v>
      </c>
      <c r="H56" s="16"/>
      <c r="I56" s="16"/>
      <c r="J56" s="30">
        <v>210.87</v>
      </c>
      <c r="K56" s="16"/>
      <c r="L56" s="28">
        <v>300</v>
      </c>
      <c r="M56" s="16"/>
      <c r="N56" s="57">
        <v>200</v>
      </c>
      <c r="P56" s="57">
        <v>205.93</v>
      </c>
    </row>
    <row r="57" spans="1:17" ht="14.4" customHeight="1" x14ac:dyDescent="0.3">
      <c r="A57" s="27" t="s">
        <v>101</v>
      </c>
      <c r="B57" s="31"/>
      <c r="C57" s="16"/>
      <c r="D57" s="30"/>
      <c r="E57" s="16"/>
      <c r="F57" s="30">
        <v>1000</v>
      </c>
      <c r="G57" s="16"/>
      <c r="H57" s="16"/>
      <c r="I57" s="16"/>
      <c r="J57" s="30">
        <v>990</v>
      </c>
      <c r="K57" s="16"/>
      <c r="L57" s="28">
        <v>1200</v>
      </c>
      <c r="M57" s="16"/>
      <c r="N57" s="62">
        <v>1200</v>
      </c>
      <c r="P57" s="57">
        <v>960</v>
      </c>
    </row>
    <row r="58" spans="1:17" ht="14.4" customHeight="1" x14ac:dyDescent="0.3">
      <c r="A58" s="27" t="s">
        <v>28</v>
      </c>
      <c r="B58" s="31">
        <f>40.94</f>
        <v>40.94</v>
      </c>
      <c r="C58" s="16"/>
      <c r="D58" s="30">
        <v>0</v>
      </c>
      <c r="E58" s="16"/>
      <c r="F58" s="30">
        <f t="shared" si="2"/>
        <v>100</v>
      </c>
      <c r="G58" s="16">
        <f t="shared" si="1"/>
        <v>44.215200000000003</v>
      </c>
      <c r="H58" s="16"/>
      <c r="I58" s="16"/>
      <c r="J58" s="30">
        <v>20</v>
      </c>
      <c r="K58" s="16"/>
      <c r="L58" s="28">
        <v>20</v>
      </c>
      <c r="M58" s="16"/>
      <c r="N58" s="57">
        <v>50</v>
      </c>
      <c r="P58" s="57">
        <v>40.94</v>
      </c>
    </row>
    <row r="59" spans="1:17" ht="14.4" customHeight="1" x14ac:dyDescent="0.3">
      <c r="A59" s="27" t="s">
        <v>102</v>
      </c>
      <c r="B59" s="31"/>
      <c r="C59" s="16"/>
      <c r="D59" s="30"/>
      <c r="E59" s="16"/>
      <c r="F59" s="30">
        <v>500</v>
      </c>
      <c r="G59" s="16"/>
      <c r="H59" s="16"/>
      <c r="I59" s="16"/>
      <c r="J59" s="30">
        <v>137.5</v>
      </c>
      <c r="K59" s="16"/>
      <c r="L59" s="28">
        <v>150</v>
      </c>
      <c r="M59" s="16"/>
      <c r="N59" s="57">
        <v>150</v>
      </c>
      <c r="P59" s="57">
        <v>144.94</v>
      </c>
    </row>
    <row r="60" spans="1:17" s="16" customFormat="1" ht="14.4" customHeight="1" x14ac:dyDescent="0.3">
      <c r="A60" s="27" t="s">
        <v>126</v>
      </c>
      <c r="B60" s="31"/>
      <c r="D60" s="30"/>
      <c r="F60" s="30"/>
      <c r="J60" s="30"/>
      <c r="L60" s="28"/>
      <c r="N60" s="57">
        <v>200</v>
      </c>
      <c r="O60" s="57"/>
      <c r="P60" s="57">
        <v>151.01</v>
      </c>
      <c r="Q60" s="57"/>
    </row>
    <row r="61" spans="1:17" ht="14.4" customHeight="1" x14ac:dyDescent="0.3">
      <c r="A61" s="27" t="s">
        <v>31</v>
      </c>
      <c r="B61" s="31">
        <f>374.91</f>
        <v>374.91</v>
      </c>
      <c r="C61" s="16"/>
      <c r="D61" s="30">
        <v>0</v>
      </c>
      <c r="E61" s="16"/>
      <c r="F61" s="30">
        <f t="shared" si="2"/>
        <v>500</v>
      </c>
      <c r="G61" s="16">
        <f t="shared" si="1"/>
        <v>404.90280000000007</v>
      </c>
      <c r="H61" s="16"/>
      <c r="I61" s="16"/>
      <c r="J61" s="30">
        <v>27.68</v>
      </c>
      <c r="K61" s="16"/>
      <c r="L61" s="28">
        <v>500</v>
      </c>
      <c r="M61" s="16"/>
      <c r="N61" s="62">
        <v>500</v>
      </c>
      <c r="P61" s="57">
        <v>57.62</v>
      </c>
    </row>
    <row r="62" spans="1:17" ht="14.4" customHeight="1" x14ac:dyDescent="0.3">
      <c r="A62" s="27" t="s">
        <v>32</v>
      </c>
      <c r="B62" s="31">
        <f>125</f>
        <v>125</v>
      </c>
      <c r="C62" s="16"/>
      <c r="D62" s="30">
        <v>50</v>
      </c>
      <c r="E62" s="16"/>
      <c r="F62" s="30">
        <f t="shared" si="2"/>
        <v>200</v>
      </c>
      <c r="G62" s="16">
        <f t="shared" si="1"/>
        <v>135</v>
      </c>
      <c r="H62" s="16"/>
      <c r="I62" s="16"/>
      <c r="J62" s="30">
        <v>40</v>
      </c>
      <c r="K62" s="16"/>
      <c r="L62" s="28">
        <v>200</v>
      </c>
      <c r="M62" s="16"/>
      <c r="N62" s="57">
        <v>300</v>
      </c>
      <c r="P62" s="57">
        <v>290</v>
      </c>
    </row>
    <row r="63" spans="1:17" s="16" customFormat="1" ht="14.4" customHeight="1" x14ac:dyDescent="0.3">
      <c r="A63" s="27" t="s">
        <v>127</v>
      </c>
      <c r="B63" s="31"/>
      <c r="D63" s="30"/>
      <c r="F63" s="30"/>
      <c r="J63" s="30"/>
      <c r="L63" s="28"/>
      <c r="N63" s="57">
        <v>200</v>
      </c>
      <c r="O63" s="57"/>
      <c r="P63" s="57">
        <v>160.38999999999999</v>
      </c>
      <c r="Q63" s="57"/>
    </row>
    <row r="64" spans="1:17" ht="14.4" customHeight="1" x14ac:dyDescent="0.3">
      <c r="A64" s="27" t="s">
        <v>34</v>
      </c>
      <c r="B64" s="31">
        <f>200</f>
        <v>200</v>
      </c>
      <c r="C64" s="16"/>
      <c r="D64" s="30">
        <v>2000</v>
      </c>
      <c r="E64" s="16"/>
      <c r="F64" s="30">
        <f t="shared" si="2"/>
        <v>300</v>
      </c>
      <c r="G64" s="16">
        <f t="shared" si="1"/>
        <v>216</v>
      </c>
      <c r="H64" s="16"/>
      <c r="I64" s="16"/>
      <c r="J64" s="30">
        <v>4606.21</v>
      </c>
      <c r="K64" s="16"/>
      <c r="L64" s="28">
        <v>5000</v>
      </c>
      <c r="M64" s="16"/>
      <c r="N64" s="62">
        <v>500</v>
      </c>
      <c r="P64" s="57">
        <v>180</v>
      </c>
    </row>
    <row r="65" spans="1:17" ht="14.4" customHeight="1" x14ac:dyDescent="0.3">
      <c r="A65" s="27" t="s">
        <v>35</v>
      </c>
      <c r="B65" s="31">
        <f>522.9</f>
        <v>522.9</v>
      </c>
      <c r="C65" s="16"/>
      <c r="D65" s="30">
        <v>0</v>
      </c>
      <c r="E65" s="16"/>
      <c r="F65" s="30">
        <f t="shared" si="2"/>
        <v>600</v>
      </c>
      <c r="G65" s="16">
        <f t="shared" si="1"/>
        <v>564.73199999999997</v>
      </c>
      <c r="H65" s="16"/>
      <c r="I65" s="16"/>
      <c r="J65" s="30">
        <v>2624.96</v>
      </c>
      <c r="K65" s="16"/>
      <c r="L65" s="28">
        <v>2500</v>
      </c>
      <c r="M65" s="16"/>
      <c r="N65" s="57">
        <v>2600</v>
      </c>
      <c r="P65" s="57">
        <v>2519.0300000000002</v>
      </c>
    </row>
    <row r="66" spans="1:17" ht="14.4" customHeight="1" x14ac:dyDescent="0.3">
      <c r="A66" s="27" t="s">
        <v>103</v>
      </c>
      <c r="B66" s="31">
        <f>1480</f>
        <v>1480</v>
      </c>
      <c r="C66" s="16"/>
      <c r="D66" s="30">
        <v>0</v>
      </c>
      <c r="E66" s="16"/>
      <c r="F66" s="30">
        <f t="shared" si="2"/>
        <v>1600</v>
      </c>
      <c r="G66" s="16">
        <f t="shared" si="1"/>
        <v>1598.4</v>
      </c>
      <c r="H66" s="16"/>
      <c r="I66" s="16"/>
      <c r="J66" s="30">
        <v>39.119999999999997</v>
      </c>
      <c r="K66" s="16"/>
      <c r="L66" s="28">
        <v>50</v>
      </c>
      <c r="M66" s="16"/>
    </row>
    <row r="67" spans="1:17" ht="14.4" customHeight="1" x14ac:dyDescent="0.3">
      <c r="A67" s="27" t="s">
        <v>36</v>
      </c>
      <c r="B67" s="31">
        <f>497.82</f>
        <v>497.82</v>
      </c>
      <c r="C67" s="16"/>
      <c r="D67" s="30">
        <v>0</v>
      </c>
      <c r="E67" s="16"/>
      <c r="F67" s="30">
        <f t="shared" si="2"/>
        <v>600</v>
      </c>
      <c r="G67" s="16">
        <f t="shared" si="1"/>
        <v>537.64560000000006</v>
      </c>
      <c r="H67" s="16"/>
      <c r="I67" s="16"/>
      <c r="J67" s="30">
        <v>0</v>
      </c>
      <c r="K67" s="16"/>
      <c r="L67" s="28"/>
      <c r="M67" s="16"/>
      <c r="N67" s="62">
        <v>1500</v>
      </c>
      <c r="P67" s="57">
        <v>775</v>
      </c>
    </row>
    <row r="68" spans="1:17" s="16" customFormat="1" ht="14.4" customHeight="1" x14ac:dyDescent="0.3">
      <c r="A68" s="27" t="s">
        <v>128</v>
      </c>
      <c r="B68" s="31"/>
      <c r="D68" s="30"/>
      <c r="F68" s="30"/>
      <c r="J68" s="30"/>
      <c r="L68" s="28"/>
      <c r="N68" s="57">
        <v>0</v>
      </c>
      <c r="O68" s="57"/>
      <c r="P68" s="57">
        <v>576.5</v>
      </c>
      <c r="Q68" s="57"/>
    </row>
    <row r="69" spans="1:17" ht="14.4" customHeight="1" x14ac:dyDescent="0.3">
      <c r="A69" s="27" t="s">
        <v>104</v>
      </c>
      <c r="B69" s="31">
        <f>150.08</f>
        <v>150.08000000000001</v>
      </c>
      <c r="C69" s="16"/>
      <c r="D69" s="30">
        <v>1000</v>
      </c>
      <c r="E69" s="16"/>
      <c r="F69" s="30">
        <f t="shared" si="2"/>
        <v>200</v>
      </c>
      <c r="G69" s="16">
        <f t="shared" si="1"/>
        <v>162.08640000000003</v>
      </c>
      <c r="H69" s="16"/>
      <c r="I69" s="16"/>
      <c r="J69" s="30">
        <v>0</v>
      </c>
      <c r="K69" s="16"/>
      <c r="L69" s="28"/>
      <c r="M69" s="16"/>
    </row>
    <row r="70" spans="1:17" s="16" customFormat="1" ht="14.4" customHeight="1" x14ac:dyDescent="0.3">
      <c r="A70" s="27" t="s">
        <v>129</v>
      </c>
      <c r="B70" s="31"/>
      <c r="D70" s="30"/>
      <c r="F70" s="30"/>
      <c r="J70" s="30"/>
      <c r="L70" s="28"/>
      <c r="N70" s="57">
        <v>100</v>
      </c>
      <c r="O70" s="57"/>
      <c r="P70" s="57">
        <v>90</v>
      </c>
      <c r="Q70" s="57"/>
    </row>
    <row r="71" spans="1:17" ht="14.4" customHeight="1" x14ac:dyDescent="0.3">
      <c r="A71" s="27" t="s">
        <v>105</v>
      </c>
      <c r="B71" s="31">
        <f>750</f>
        <v>750</v>
      </c>
      <c r="C71" s="16"/>
      <c r="D71" s="30">
        <v>0</v>
      </c>
      <c r="E71" s="16"/>
      <c r="F71" s="30">
        <f t="shared" si="2"/>
        <v>900</v>
      </c>
      <c r="G71" s="16">
        <f t="shared" si="1"/>
        <v>810</v>
      </c>
      <c r="H71" s="16"/>
      <c r="I71" s="16"/>
      <c r="J71" s="30">
        <v>0</v>
      </c>
      <c r="K71" s="16"/>
      <c r="L71" s="28"/>
      <c r="M71" s="16"/>
      <c r="N71" s="57">
        <v>300</v>
      </c>
      <c r="P71" s="57">
        <v>300</v>
      </c>
    </row>
    <row r="72" spans="1:17" ht="14.4" customHeight="1" x14ac:dyDescent="0.3">
      <c r="A72" s="27" t="s">
        <v>106</v>
      </c>
      <c r="B72" s="31">
        <f>111.94</f>
        <v>111.94</v>
      </c>
      <c r="C72" s="16"/>
      <c r="D72" s="30">
        <v>200</v>
      </c>
      <c r="E72" s="16"/>
      <c r="F72" s="30">
        <f t="shared" si="2"/>
        <v>200</v>
      </c>
      <c r="G72" s="16">
        <f t="shared" si="1"/>
        <v>120.8952</v>
      </c>
      <c r="H72" s="16"/>
      <c r="I72" s="16"/>
      <c r="J72" s="30">
        <v>0</v>
      </c>
      <c r="K72" s="16"/>
      <c r="L72" s="28">
        <v>200</v>
      </c>
      <c r="M72" s="16"/>
      <c r="N72" s="62">
        <v>200</v>
      </c>
    </row>
    <row r="73" spans="1:17" ht="14.4" customHeight="1" x14ac:dyDescent="0.3">
      <c r="A73" s="27" t="s">
        <v>40</v>
      </c>
      <c r="B73" s="31">
        <f>784.85</f>
        <v>784.85</v>
      </c>
      <c r="C73" s="16"/>
      <c r="D73" s="30">
        <v>1150</v>
      </c>
      <c r="E73" s="16"/>
      <c r="F73" s="30">
        <f t="shared" si="2"/>
        <v>900</v>
      </c>
      <c r="G73" s="16">
        <f t="shared" si="1"/>
        <v>847.63800000000003</v>
      </c>
      <c r="H73" s="16"/>
      <c r="I73" s="16"/>
      <c r="J73" s="30">
        <v>498.46</v>
      </c>
      <c r="K73" s="16"/>
      <c r="L73" s="28">
        <v>550</v>
      </c>
      <c r="M73" s="16"/>
      <c r="N73" s="62">
        <v>1000</v>
      </c>
      <c r="P73" s="57">
        <v>152.12</v>
      </c>
    </row>
    <row r="74" spans="1:17" ht="14.4" customHeight="1" x14ac:dyDescent="0.3">
      <c r="A74" s="27" t="s">
        <v>107</v>
      </c>
      <c r="B74" s="31">
        <f>118.07</f>
        <v>118.07</v>
      </c>
      <c r="C74" s="16"/>
      <c r="D74" s="30">
        <v>500</v>
      </c>
      <c r="E74" s="16"/>
      <c r="F74" s="30">
        <f t="shared" si="2"/>
        <v>200</v>
      </c>
      <c r="G74" s="16">
        <f t="shared" si="1"/>
        <v>127.51560000000001</v>
      </c>
      <c r="H74" s="16"/>
      <c r="I74" s="16"/>
      <c r="J74" s="30">
        <v>3137.4</v>
      </c>
      <c r="K74" s="16"/>
      <c r="L74" s="28"/>
      <c r="M74" s="16"/>
      <c r="N74" s="57">
        <v>0</v>
      </c>
    </row>
    <row r="75" spans="1:17" ht="14.4" customHeight="1" x14ac:dyDescent="0.3">
      <c r="A75" s="27" t="s">
        <v>108</v>
      </c>
      <c r="B75" s="31">
        <f>150</f>
        <v>150</v>
      </c>
      <c r="C75" s="16"/>
      <c r="D75" s="30">
        <v>0</v>
      </c>
      <c r="E75" s="16"/>
      <c r="F75" s="30">
        <f t="shared" si="2"/>
        <v>200</v>
      </c>
      <c r="G75" s="16">
        <f t="shared" si="1"/>
        <v>162</v>
      </c>
      <c r="H75" s="16"/>
      <c r="I75" s="16"/>
      <c r="J75" s="30">
        <v>135</v>
      </c>
      <c r="K75" s="16"/>
      <c r="L75" s="28">
        <v>150</v>
      </c>
      <c r="M75" s="16"/>
    </row>
    <row r="76" spans="1:17" s="16" customFormat="1" ht="14.4" customHeight="1" x14ac:dyDescent="0.3">
      <c r="A76" s="64" t="s">
        <v>136</v>
      </c>
      <c r="B76" s="31"/>
      <c r="D76" s="30"/>
      <c r="F76" s="30"/>
      <c r="J76" s="30"/>
      <c r="L76" s="28"/>
      <c r="N76" s="57">
        <v>500</v>
      </c>
      <c r="O76" s="57"/>
      <c r="P76" s="57">
        <v>492.42</v>
      </c>
      <c r="Q76" s="57"/>
    </row>
    <row r="77" spans="1:17" ht="14.4" customHeight="1" x14ac:dyDescent="0.3">
      <c r="A77" s="27" t="s">
        <v>109</v>
      </c>
      <c r="B77" s="31">
        <f>830</f>
        <v>830</v>
      </c>
      <c r="C77" s="16"/>
      <c r="D77" s="30">
        <v>2000</v>
      </c>
      <c r="E77" s="16"/>
      <c r="F77" s="30">
        <f t="shared" si="2"/>
        <v>900</v>
      </c>
      <c r="G77" s="16">
        <f t="shared" si="1"/>
        <v>896.40000000000009</v>
      </c>
      <c r="H77" s="16"/>
      <c r="I77" s="16"/>
      <c r="J77" s="30">
        <v>839.98</v>
      </c>
      <c r="K77" s="16"/>
      <c r="L77" s="28"/>
      <c r="M77" s="16"/>
    </row>
    <row r="78" spans="1:17" ht="14.4" customHeight="1" x14ac:dyDescent="0.3">
      <c r="A78" s="27" t="s">
        <v>43</v>
      </c>
      <c r="B78" s="31">
        <f>200</f>
        <v>200</v>
      </c>
      <c r="C78" s="16"/>
      <c r="D78" s="30">
        <v>0</v>
      </c>
      <c r="E78" s="16"/>
      <c r="F78" s="30">
        <f t="shared" si="2"/>
        <v>300</v>
      </c>
      <c r="G78" s="16">
        <f t="shared" si="1"/>
        <v>216</v>
      </c>
      <c r="H78" s="16"/>
      <c r="I78" s="16"/>
      <c r="J78" s="30">
        <v>0</v>
      </c>
      <c r="K78" s="16"/>
      <c r="L78" s="28"/>
      <c r="M78" s="16"/>
      <c r="N78" s="65">
        <v>0</v>
      </c>
      <c r="P78" s="57">
        <v>1679.34</v>
      </c>
    </row>
    <row r="79" spans="1:17" ht="14.4" customHeight="1" x14ac:dyDescent="0.3">
      <c r="A79" s="27" t="s">
        <v>44</v>
      </c>
      <c r="B79" s="31">
        <f>700</f>
        <v>700</v>
      </c>
      <c r="C79" s="16"/>
      <c r="D79" s="30">
        <v>2000</v>
      </c>
      <c r="E79" s="16"/>
      <c r="F79" s="30">
        <f t="shared" si="2"/>
        <v>800</v>
      </c>
      <c r="G79" s="16">
        <f t="shared" si="1"/>
        <v>756</v>
      </c>
      <c r="H79" s="16"/>
      <c r="I79" s="16"/>
      <c r="J79" s="30">
        <v>0</v>
      </c>
      <c r="K79" s="16"/>
      <c r="L79" s="28"/>
      <c r="M79" s="16"/>
      <c r="N79" s="65">
        <v>0</v>
      </c>
      <c r="P79" s="57">
        <v>1317.77</v>
      </c>
    </row>
    <row r="80" spans="1:17" s="16" customFormat="1" ht="14.4" customHeight="1" x14ac:dyDescent="0.3">
      <c r="A80" s="27" t="s">
        <v>130</v>
      </c>
      <c r="B80" s="31"/>
      <c r="D80" s="30"/>
      <c r="F80" s="30"/>
      <c r="J80" s="30"/>
      <c r="L80" s="28"/>
      <c r="N80" s="57">
        <v>15000</v>
      </c>
      <c r="O80" s="57"/>
      <c r="P80" s="57">
        <v>12885.42</v>
      </c>
      <c r="Q80" s="57"/>
    </row>
    <row r="81" spans="1:17" ht="14.4" customHeight="1" x14ac:dyDescent="0.3">
      <c r="A81" s="27" t="s">
        <v>110</v>
      </c>
      <c r="B81" s="31">
        <f>6103</f>
        <v>6103</v>
      </c>
      <c r="C81" s="16"/>
      <c r="D81" s="30">
        <v>6000</v>
      </c>
      <c r="E81" s="16"/>
      <c r="F81" s="30">
        <v>5870</v>
      </c>
      <c r="G81" s="16">
        <f t="shared" si="1"/>
        <v>6591.2400000000007</v>
      </c>
      <c r="H81" s="16"/>
      <c r="I81" s="16"/>
      <c r="J81" s="30">
        <v>2750.04</v>
      </c>
      <c r="K81" s="16"/>
      <c r="L81" s="28">
        <v>2500</v>
      </c>
      <c r="M81" s="16"/>
      <c r="N81" s="62">
        <v>2750</v>
      </c>
    </row>
    <row r="82" spans="1:17" ht="14.4" customHeight="1" x14ac:dyDescent="0.3">
      <c r="A82" s="27" t="s">
        <v>111</v>
      </c>
      <c r="B82" s="31">
        <v>0</v>
      </c>
      <c r="C82" s="16"/>
      <c r="D82" s="30">
        <v>3000</v>
      </c>
      <c r="E82" s="16"/>
      <c r="F82" s="30">
        <v>1000</v>
      </c>
      <c r="G82" s="16"/>
      <c r="H82" s="16"/>
      <c r="I82" s="16"/>
      <c r="J82" s="30">
        <v>712.52</v>
      </c>
      <c r="K82" s="16"/>
      <c r="L82" s="28">
        <v>1000</v>
      </c>
      <c r="M82" s="16"/>
      <c r="N82" s="60">
        <v>1000</v>
      </c>
      <c r="P82" s="57">
        <v>1000</v>
      </c>
    </row>
    <row r="83" spans="1:17" ht="14.4" customHeight="1" x14ac:dyDescent="0.3">
      <c r="A83" s="27" t="s">
        <v>112</v>
      </c>
      <c r="B83" s="31">
        <v>0</v>
      </c>
      <c r="C83" s="16"/>
      <c r="D83" s="30">
        <v>3500</v>
      </c>
      <c r="E83" s="16"/>
      <c r="F83" s="30">
        <v>1000</v>
      </c>
      <c r="G83" s="16"/>
      <c r="H83" s="16"/>
      <c r="I83" s="16"/>
      <c r="J83" s="30">
        <v>0</v>
      </c>
      <c r="K83" s="16"/>
      <c r="L83" s="28">
        <v>1000</v>
      </c>
      <c r="M83" s="16"/>
      <c r="N83" s="63">
        <v>1000</v>
      </c>
    </row>
    <row r="84" spans="1:17" ht="14.4" customHeight="1" x14ac:dyDescent="0.3">
      <c r="A84" s="27" t="s">
        <v>113</v>
      </c>
      <c r="B84" s="31">
        <v>0</v>
      </c>
      <c r="C84" s="16"/>
      <c r="D84" s="30">
        <v>1000</v>
      </c>
      <c r="E84" s="16"/>
      <c r="F84" s="30">
        <v>1000</v>
      </c>
      <c r="G84" s="16"/>
      <c r="H84" s="16"/>
      <c r="I84" s="16"/>
      <c r="J84" s="30">
        <v>0</v>
      </c>
      <c r="K84" s="16"/>
      <c r="L84" s="28">
        <v>1000</v>
      </c>
      <c r="M84" s="16"/>
      <c r="N84" s="63">
        <v>1000</v>
      </c>
    </row>
    <row r="85" spans="1:17" ht="14.4" customHeight="1" x14ac:dyDescent="0.3">
      <c r="A85" s="27" t="s">
        <v>114</v>
      </c>
      <c r="B85" s="31">
        <v>0</v>
      </c>
      <c r="C85" s="16"/>
      <c r="D85" s="30">
        <v>750</v>
      </c>
      <c r="E85" s="16"/>
      <c r="F85" s="30">
        <v>1000</v>
      </c>
      <c r="G85" s="16"/>
      <c r="H85" s="16"/>
      <c r="I85" s="16"/>
      <c r="J85" s="30">
        <v>0</v>
      </c>
      <c r="K85" s="16"/>
      <c r="L85" s="28">
        <v>1000</v>
      </c>
      <c r="M85" s="16"/>
      <c r="N85" s="63">
        <v>1000</v>
      </c>
    </row>
    <row r="86" spans="1:17" ht="14.4" customHeight="1" x14ac:dyDescent="0.3">
      <c r="A86" s="27" t="s">
        <v>50</v>
      </c>
      <c r="B86" s="31"/>
      <c r="C86" s="16"/>
      <c r="D86" s="30"/>
      <c r="E86" s="16"/>
      <c r="F86" s="30">
        <v>1000</v>
      </c>
      <c r="G86" s="16"/>
      <c r="H86" s="16"/>
      <c r="I86" s="16"/>
      <c r="J86" s="30"/>
      <c r="K86" s="16"/>
      <c r="L86" s="28">
        <v>1000</v>
      </c>
      <c r="M86" s="16"/>
      <c r="N86" s="60">
        <v>1000</v>
      </c>
      <c r="P86" s="57">
        <v>464.9</v>
      </c>
      <c r="Q86" s="57">
        <v>1234.9000000000001</v>
      </c>
    </row>
    <row r="87" spans="1:17" s="16" customFormat="1" ht="14.4" customHeight="1" x14ac:dyDescent="0.3">
      <c r="A87" s="27" t="s">
        <v>131</v>
      </c>
      <c r="B87" s="31"/>
      <c r="D87" s="30"/>
      <c r="F87" s="30"/>
      <c r="J87" s="30"/>
      <c r="L87" s="28"/>
      <c r="N87" s="60">
        <v>0</v>
      </c>
      <c r="O87" s="57"/>
      <c r="P87" s="57">
        <v>770</v>
      </c>
      <c r="Q87" s="57"/>
    </row>
    <row r="88" spans="1:17" ht="14.4" customHeight="1" x14ac:dyDescent="0.3">
      <c r="A88" s="27" t="s">
        <v>115</v>
      </c>
      <c r="B88" s="31">
        <v>0</v>
      </c>
      <c r="C88" s="16"/>
      <c r="D88" s="30">
        <v>1000</v>
      </c>
      <c r="E88" s="16"/>
      <c r="F88" s="30">
        <v>1000</v>
      </c>
      <c r="G88" s="16"/>
      <c r="H88" s="16"/>
      <c r="I88" s="16"/>
      <c r="J88" s="30">
        <v>0</v>
      </c>
      <c r="K88" s="16"/>
      <c r="L88" s="28">
        <v>1000</v>
      </c>
      <c r="M88" s="16"/>
      <c r="N88" s="63">
        <v>1000</v>
      </c>
    </row>
    <row r="89" spans="1:17" ht="14.4" customHeight="1" x14ac:dyDescent="0.3">
      <c r="A89" s="27" t="s">
        <v>116</v>
      </c>
      <c r="B89" s="31"/>
      <c r="C89" s="16"/>
      <c r="D89" s="30"/>
      <c r="E89" s="16"/>
      <c r="F89" s="30">
        <v>1000</v>
      </c>
      <c r="G89" s="16"/>
      <c r="H89" s="16"/>
      <c r="I89" s="16"/>
      <c r="J89" s="30"/>
      <c r="K89" s="16"/>
      <c r="L89" s="28">
        <v>1000</v>
      </c>
      <c r="M89" s="16"/>
      <c r="N89" s="63">
        <v>1000</v>
      </c>
    </row>
    <row r="90" spans="1:17" ht="14.4" customHeight="1" x14ac:dyDescent="0.3">
      <c r="A90" s="27"/>
      <c r="B90" s="31"/>
      <c r="C90" s="16"/>
      <c r="D90" s="30"/>
      <c r="E90" s="16"/>
      <c r="F90" s="30"/>
      <c r="G90" s="16"/>
      <c r="H90" s="16"/>
      <c r="I90" s="16"/>
      <c r="J90" s="30"/>
      <c r="K90" s="16"/>
      <c r="L90" s="28"/>
      <c r="M90" s="16"/>
    </row>
    <row r="91" spans="1:17" ht="14.4" customHeight="1" x14ac:dyDescent="0.3">
      <c r="A91" s="32" t="s">
        <v>18</v>
      </c>
      <c r="B91" s="33">
        <v>10000</v>
      </c>
      <c r="C91" s="34"/>
      <c r="D91" s="35">
        <v>0</v>
      </c>
      <c r="E91" s="34"/>
      <c r="F91" s="35">
        <v>12000</v>
      </c>
      <c r="G91" s="34"/>
      <c r="H91" s="34"/>
      <c r="I91" s="34"/>
      <c r="J91" s="35">
        <v>14354.22</v>
      </c>
      <c r="K91" s="34"/>
      <c r="L91" s="36">
        <v>12500</v>
      </c>
      <c r="M91" s="34"/>
      <c r="N91" s="60">
        <v>12000</v>
      </c>
      <c r="P91" s="57">
        <v>11442.55</v>
      </c>
    </row>
    <row r="92" spans="1:17" ht="14.4" customHeight="1" x14ac:dyDescent="0.3">
      <c r="A92" s="32" t="s">
        <v>117</v>
      </c>
      <c r="B92" s="33">
        <f>1916.5</f>
        <v>1916.5</v>
      </c>
      <c r="C92" s="34"/>
      <c r="D92" s="35">
        <v>0</v>
      </c>
      <c r="E92" s="34"/>
      <c r="F92" s="35">
        <f>ROUNDUP(G92,-2)</f>
        <v>2100</v>
      </c>
      <c r="G92" s="34">
        <f>+B92*1.08</f>
        <v>2069.8200000000002</v>
      </c>
      <c r="H92" s="34"/>
      <c r="I92" s="34"/>
      <c r="J92" s="35">
        <v>3221.48</v>
      </c>
      <c r="K92" s="34"/>
      <c r="L92" s="36">
        <v>3500</v>
      </c>
      <c r="M92" s="34"/>
      <c r="N92" s="57">
        <v>100</v>
      </c>
      <c r="P92" s="57">
        <v>86.21</v>
      </c>
    </row>
    <row r="93" spans="1:17" ht="14.4" customHeight="1" x14ac:dyDescent="0.3">
      <c r="A93" s="32" t="s">
        <v>46</v>
      </c>
      <c r="B93" s="33">
        <f>433.33</f>
        <v>433.33</v>
      </c>
      <c r="C93" s="34"/>
      <c r="D93" s="35">
        <v>0</v>
      </c>
      <c r="E93" s="34"/>
      <c r="F93" s="35">
        <f>ROUNDUP(G93,-2)</f>
        <v>500</v>
      </c>
      <c r="G93" s="34">
        <f>+B93*1.08</f>
        <v>467.99639999999999</v>
      </c>
      <c r="H93" s="34"/>
      <c r="I93" s="34"/>
      <c r="J93" s="35">
        <v>2019.7</v>
      </c>
      <c r="K93" s="34"/>
      <c r="L93" s="36">
        <v>3500</v>
      </c>
      <c r="M93" s="34"/>
      <c r="N93" s="57">
        <v>2400</v>
      </c>
      <c r="P93" s="57">
        <v>2381.37</v>
      </c>
    </row>
    <row r="94" spans="1:17" ht="14.4" customHeight="1" x14ac:dyDescent="0.3">
      <c r="A94" s="32" t="s">
        <v>47</v>
      </c>
      <c r="B94" s="33">
        <f>2218.16</f>
        <v>2218.16</v>
      </c>
      <c r="C94" s="34"/>
      <c r="D94" s="35">
        <v>0</v>
      </c>
      <c r="E94" s="34"/>
      <c r="F94" s="35">
        <f>ROUNDUP(G94,-2)</f>
        <v>2400</v>
      </c>
      <c r="G94" s="34">
        <f>+B94*1.08</f>
        <v>2395.6127999999999</v>
      </c>
      <c r="H94" s="34"/>
      <c r="I94" s="34"/>
      <c r="J94" s="35">
        <v>4849.17</v>
      </c>
      <c r="K94" s="34"/>
      <c r="L94" s="36">
        <v>5000</v>
      </c>
      <c r="M94" s="34"/>
      <c r="N94" s="57">
        <v>500</v>
      </c>
      <c r="P94" s="57">
        <v>485.94</v>
      </c>
    </row>
    <row r="95" spans="1:17" ht="14.4" customHeight="1" x14ac:dyDescent="0.3">
      <c r="A95" s="32" t="s">
        <v>118</v>
      </c>
      <c r="B95" s="33"/>
      <c r="C95" s="34"/>
      <c r="D95" s="35"/>
      <c r="E95" s="34"/>
      <c r="F95" s="35"/>
      <c r="G95" s="34"/>
      <c r="H95" s="34"/>
      <c r="I95" s="34"/>
      <c r="J95" s="35"/>
      <c r="K95" s="34"/>
      <c r="L95" s="36">
        <v>0</v>
      </c>
      <c r="M95" s="34"/>
      <c r="N95" s="57">
        <v>1600</v>
      </c>
      <c r="P95" s="57">
        <v>1540</v>
      </c>
    </row>
    <row r="96" spans="1:17" ht="14.4" customHeight="1" x14ac:dyDescent="0.3">
      <c r="A96" s="32"/>
      <c r="B96" s="33"/>
      <c r="C96" s="34"/>
      <c r="D96" s="35"/>
      <c r="E96" s="34"/>
      <c r="F96" s="35"/>
      <c r="G96" s="34"/>
      <c r="H96" s="34"/>
      <c r="I96" s="34"/>
      <c r="J96" s="35"/>
      <c r="K96" s="52">
        <f>SUM(F91:F94)</f>
        <v>17000</v>
      </c>
      <c r="L96" s="36"/>
      <c r="M96" s="52">
        <f>SUM(L91:L95)</f>
        <v>24500</v>
      </c>
    </row>
    <row r="97" spans="1:17" s="61" customFormat="1" ht="14.4" customHeight="1" x14ac:dyDescent="0.3">
      <c r="A97" s="27" t="s">
        <v>53</v>
      </c>
      <c r="B97" s="50" t="e">
        <f>((((((((((((((((((((((((((((((((((B91)+(B42))+(B43))+(B44))+(B47))+(B48))+(B49))+(#REF!))+(B52))+(B54))+(B55))+(B56))+(B58))+(B61))+(B62))+(B64))+(B65))+(B66))+(B67))+(#REF!))+(#REF!))+(B69))+(B71))+(B72))+(B73))+(B74))+(B75))+(B77))+(B78))+(B79))+(B92))+(B93))+(B94))+(#REF!))+(B81)</f>
        <v>#REF!</v>
      </c>
      <c r="D97" s="53">
        <f>SUM(D41:D88)</f>
        <v>61130</v>
      </c>
      <c r="F97" s="50">
        <f>SUM(F42:F96)</f>
        <v>76870</v>
      </c>
      <c r="G97" s="50">
        <f>SUM(G42:G96)</f>
        <v>53144.445600000006</v>
      </c>
      <c r="H97" s="50">
        <f>SUM(H42:H96)</f>
        <v>0</v>
      </c>
      <c r="I97" s="50">
        <f>SUM(I42:I96)</f>
        <v>0</v>
      </c>
      <c r="J97" s="50">
        <f>SUM(J42:J96)</f>
        <v>69073.14</v>
      </c>
      <c r="K97" s="50"/>
      <c r="L97" s="50">
        <f>SUM(L42:L96)</f>
        <v>112820</v>
      </c>
      <c r="M97" s="50"/>
      <c r="N97" s="59">
        <f>SUM(N42:N95)</f>
        <v>114850</v>
      </c>
      <c r="O97" s="59"/>
      <c r="P97" s="59">
        <f t="shared" ref="P97" si="3">SUM(P42:P95)</f>
        <v>61998.849999999991</v>
      </c>
      <c r="Q97" s="59"/>
    </row>
    <row r="98" spans="1:17" ht="14.4" customHeight="1" x14ac:dyDescent="0.3">
      <c r="A98" s="27"/>
      <c r="B98" s="50"/>
      <c r="C98" s="16"/>
      <c r="D98" s="16"/>
      <c r="E98" s="16"/>
      <c r="F98" s="50"/>
      <c r="G98" s="16"/>
      <c r="H98" s="16"/>
      <c r="I98" s="16"/>
      <c r="J98" s="16"/>
      <c r="K98" s="16"/>
      <c r="L98" s="28"/>
      <c r="M98" s="16"/>
    </row>
    <row r="99" spans="1:17" ht="14.4" customHeight="1" x14ac:dyDescent="0.3">
      <c r="A99" s="27" t="s">
        <v>119</v>
      </c>
      <c r="B99" s="50" t="e">
        <f>(#REF!)-(B97)</f>
        <v>#REF!</v>
      </c>
      <c r="C99" s="16"/>
      <c r="D99" s="51" t="e">
        <f>(#REF!)-(D97)</f>
        <v>#REF!</v>
      </c>
      <c r="E99" s="16"/>
      <c r="F99" s="50">
        <f>+F37-F97</f>
        <v>31630</v>
      </c>
      <c r="G99" s="16"/>
      <c r="H99" s="16"/>
      <c r="I99" s="16"/>
      <c r="J99" s="51" t="e">
        <f>(#REF!)-(J97)</f>
        <v>#REF!</v>
      </c>
      <c r="K99" s="16"/>
      <c r="L99" s="28">
        <f>L37-L97</f>
        <v>3715</v>
      </c>
      <c r="M99" s="16"/>
      <c r="N99" s="50">
        <f>+N37-N97</f>
        <v>10120</v>
      </c>
      <c r="P99" s="50">
        <f>+P37-P97</f>
        <v>35499.290000000008</v>
      </c>
    </row>
    <row r="100" spans="1:17" ht="14.4" customHeight="1" x14ac:dyDescent="0.3">
      <c r="A100" s="27"/>
      <c r="B100" s="50"/>
      <c r="C100" s="16"/>
      <c r="D100" s="16"/>
      <c r="E100" s="16"/>
      <c r="F100" s="50"/>
      <c r="G100" s="16"/>
      <c r="H100" s="16"/>
      <c r="I100" s="16"/>
      <c r="J100" s="16"/>
      <c r="K100" s="16"/>
      <c r="L100" s="28"/>
      <c r="M100" s="16"/>
    </row>
    <row r="101" spans="1:17" ht="14.4" customHeight="1" x14ac:dyDescent="0.3">
      <c r="A101" s="54" t="s">
        <v>120</v>
      </c>
      <c r="B101" s="55"/>
      <c r="C101" s="45"/>
      <c r="D101" s="45"/>
      <c r="E101" s="45"/>
      <c r="F101" s="45"/>
      <c r="G101" s="45"/>
      <c r="H101" s="45"/>
      <c r="I101" s="45"/>
      <c r="J101" s="45"/>
      <c r="K101" s="45"/>
      <c r="L101" s="47">
        <v>10715</v>
      </c>
      <c r="M101" s="45"/>
    </row>
    <row r="102" spans="1:17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28"/>
      <c r="M102" s="16"/>
    </row>
    <row r="103" spans="1:17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28"/>
      <c r="M103" s="16"/>
    </row>
    <row r="104" spans="1:17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28"/>
      <c r="M104" s="16"/>
    </row>
    <row r="105" spans="1:17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28"/>
      <c r="M105" s="16"/>
    </row>
    <row r="106" spans="1:17" ht="16.2" x14ac:dyDescent="0.3">
      <c r="A106" s="56" t="s">
        <v>121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28"/>
      <c r="M10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Statement of Activity</vt:lpstr>
      <vt:lpstr>Comparison of 2019 and 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Rossy</cp:lastModifiedBy>
  <cp:lastPrinted>2019-11-26T19:22:52Z</cp:lastPrinted>
  <dcterms:created xsi:type="dcterms:W3CDTF">2019-11-14T14:40:16Z</dcterms:created>
  <dcterms:modified xsi:type="dcterms:W3CDTF">2019-12-04T17:21:54Z</dcterms:modified>
</cp:coreProperties>
</file>